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5.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6.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trlProps/ctrlProp7.xml" ContentType="application/vnd.ms-excel.controlproperties+xml"/>
  <Override PartName="/xl/ctrlProps/ctrlProp8.xml" ContentType="application/vnd.ms-excel.controlproperties+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3780" yWindow="0" windowWidth="4860" windowHeight="7410" tabRatio="818" activeTab="7"/>
  </bookViews>
  <sheets>
    <sheet name="9-39 a" sheetId="4" r:id="rId1"/>
    <sheet name="9-39 b" sheetId="5" r:id="rId2"/>
    <sheet name="9-40 a" sheetId="9" r:id="rId3"/>
    <sheet name="9-40 b" sheetId="11" r:id="rId4"/>
    <sheet name="9-41 a" sheetId="13" r:id="rId5"/>
    <sheet name="9-41 b" sheetId="14" r:id="rId6"/>
    <sheet name="11-18" sheetId="18" r:id="rId7"/>
    <sheet name="11-19" sheetId="19" r:id="rId8"/>
    <sheet name="11-35" sheetId="20" r:id="rId9"/>
    <sheet name="12-12" sheetId="2" r:id="rId10"/>
    <sheet name="12-23" sheetId="3" r:id="rId11"/>
  </sheets>
  <externalReferences>
    <externalReference r:id="rId12"/>
  </externalReferences>
  <definedNames>
    <definedName name="changecolor" localSheetId="8">'11-35'!changecolor</definedName>
    <definedName name="changecolor">[0]!changecolor</definedName>
    <definedName name="color_CANCEL" localSheetId="8">'11-35'!color_CANCEL</definedName>
    <definedName name="color_CANCEL">[0]!color_CANCEL</definedName>
    <definedName name="color_DEFAULT" localSheetId="8">'11-35'!color_DEFAULT</definedName>
    <definedName name="color_DEFAULT">[0]!color_DEFAULT</definedName>
    <definedName name="color_OK" localSheetId="8">'11-35'!color_OK</definedName>
    <definedName name="color_OK">[0]!color_OK</definedName>
    <definedName name="colorlist_change" localSheetId="8">'11-35'!colorlist_change</definedName>
    <definedName name="colorlist_change">[0]!colorlist_change</definedName>
    <definedName name="HTML_CodePage" hidden="1">1252</definedName>
    <definedName name="HTML_Control" localSheetId="8" hidden="1">{"'Builds'!$B$72:$D$199"}</definedName>
    <definedName name="HTML_Control" hidden="1">{"'Builds'!$B$72:$D$199"}</definedName>
    <definedName name="HTML_Description" hidden="1">""</definedName>
    <definedName name="HTML_Email" hidden="1">"hweiss@sbm.temple.edu"</definedName>
    <definedName name="HTML_Header" hidden="1">"Builds"</definedName>
    <definedName name="HTML_LastUpdate" hidden="1">"3/14/2000"</definedName>
    <definedName name="HTML_LineAfter" hidden="1">FALSE</definedName>
    <definedName name="HTML_LineBefore" hidden="1">FALSE</definedName>
    <definedName name="HTML_Name" hidden="1">"Howard Weiss"</definedName>
    <definedName name="HTML_OBDlg2" hidden="1">TRUE</definedName>
    <definedName name="HTML_OBDlg4" hidden="1">TRUE</definedName>
    <definedName name="HTML_OS" hidden="1">0</definedName>
    <definedName name="HTML_PathFile" hidden="1">"n:\upgrades.ph.html"</definedName>
    <definedName name="HTML_Title" hidden="1">"Version2"</definedName>
    <definedName name="_xlnm.Print_Area" localSheetId="8">'11-35'!$A$1:$N$18</definedName>
    <definedName name="solver_adj" localSheetId="8" hidden="1">'11-35'!$M$6,'11-35'!$B$33:$Z$33,'11-35'!$B$34:$Z$34</definedName>
    <definedName name="solver_cct" localSheetId="8" hidden="1">20</definedName>
    <definedName name="solver_cgt" localSheetId="8" hidden="1">1</definedName>
    <definedName name="solver_cir1" localSheetId="8" hidden="1">1</definedName>
    <definedName name="solver_cir10" localSheetId="8" hidden="1">1</definedName>
    <definedName name="solver_cir11" localSheetId="8" hidden="1">1</definedName>
    <definedName name="solver_cir12" localSheetId="8" hidden="1">1</definedName>
    <definedName name="solver_cir13" localSheetId="8" hidden="1">1</definedName>
    <definedName name="solver_cir14" localSheetId="8" hidden="1">1</definedName>
    <definedName name="solver_cir15" localSheetId="8" hidden="1">1</definedName>
    <definedName name="solver_cir16" localSheetId="8" hidden="1">1</definedName>
    <definedName name="solver_cir17" localSheetId="8" hidden="1">1</definedName>
    <definedName name="solver_cir18" localSheetId="8" hidden="1">1</definedName>
    <definedName name="solver_cir19" localSheetId="8" hidden="1">1</definedName>
    <definedName name="solver_cir2" localSheetId="8" hidden="1">1</definedName>
    <definedName name="solver_cir20" localSheetId="8" hidden="1">1</definedName>
    <definedName name="solver_cir21" localSheetId="8" hidden="1">1</definedName>
    <definedName name="solver_cir22" localSheetId="8" hidden="1">1</definedName>
    <definedName name="solver_cir23" localSheetId="8" hidden="1">1</definedName>
    <definedName name="solver_cir24" localSheetId="8" hidden="1">1</definedName>
    <definedName name="solver_cir25" localSheetId="8" hidden="1">1</definedName>
    <definedName name="solver_cir26" localSheetId="8" hidden="1">1</definedName>
    <definedName name="solver_cir27" localSheetId="8" hidden="1">1</definedName>
    <definedName name="solver_cir3" localSheetId="8" hidden="1">1</definedName>
    <definedName name="solver_cir4" localSheetId="8" hidden="1">1</definedName>
    <definedName name="solver_cir5" localSheetId="8" hidden="1">1</definedName>
    <definedName name="solver_cir6" localSheetId="8" hidden="1">1</definedName>
    <definedName name="solver_cir7" localSheetId="8" hidden="1">1</definedName>
    <definedName name="solver_cir8" localSheetId="8" hidden="1">1</definedName>
    <definedName name="solver_cir9" localSheetId="8" hidden="1">1</definedName>
    <definedName name="solver_cvg" localSheetId="8" hidden="1">0.0001</definedName>
    <definedName name="solver_dia" localSheetId="8" hidden="1">5</definedName>
    <definedName name="solver_drv" localSheetId="8" hidden="1">1</definedName>
    <definedName name="solver_dua" localSheetId="8" hidden="1">1</definedName>
    <definedName name="solver_eng" localSheetId="8" hidden="1">2</definedName>
    <definedName name="solver_est" localSheetId="8" hidden="1">1</definedName>
    <definedName name="solver_gct" localSheetId="8" hidden="1">20</definedName>
    <definedName name="solver_gop" localSheetId="8" hidden="1">1</definedName>
    <definedName name="solver_iao" localSheetId="8" hidden="1">0</definedName>
    <definedName name="solver_ibd" localSheetId="8" hidden="1">2</definedName>
    <definedName name="solver_ifs" localSheetId="8" hidden="1">0</definedName>
    <definedName name="solver_irs" localSheetId="8" hidden="1">0</definedName>
    <definedName name="solver_ism" localSheetId="8" hidden="1">0</definedName>
    <definedName name="solver_itr" localSheetId="8" hidden="1">1000</definedName>
    <definedName name="solver_lhs1" localSheetId="8" hidden="1">'11-35'!$B$38:$B$46</definedName>
    <definedName name="solver_lhs10" localSheetId="8" hidden="1">'11-35'!$B$34:$Z$34</definedName>
    <definedName name="solver_lhs11" localSheetId="8" hidden="1">'11-35'!$B$36:$Z$36</definedName>
    <definedName name="solver_lhs12" localSheetId="8" hidden="1">'11-35'!$B$36:$Z$36</definedName>
    <definedName name="solver_lhs13" localSheetId="8" hidden="1">'11-35'!$B$36:$Z$36</definedName>
    <definedName name="solver_lhs14" localSheetId="8" hidden="1">'11-35'!$B$36:$Z$36</definedName>
    <definedName name="solver_lhs15" localSheetId="8" hidden="1">'11-35'!$B$36:$Z$36</definedName>
    <definedName name="solver_lhs16" localSheetId="8" hidden="1">'11-35'!$B$36:$Z$36</definedName>
    <definedName name="solver_lhs17" localSheetId="8" hidden="1">'11-35'!$B$36:$Z$36</definedName>
    <definedName name="solver_lhs18" localSheetId="8" hidden="1">'11-35'!$B$36:$Z$36</definedName>
    <definedName name="solver_lhs19" localSheetId="8" hidden="1">'11-35'!$B$36:$Z$36</definedName>
    <definedName name="solver_lhs2" localSheetId="8" hidden="1">'11-35'!$B$38:$B$46</definedName>
    <definedName name="solver_lhs20" localSheetId="8" hidden="1">'11-35'!$B$36:$Z$36</definedName>
    <definedName name="solver_lhs21" localSheetId="8" hidden="1">'11-35'!$B$36:$Z$36</definedName>
    <definedName name="solver_lhs22" localSheetId="8" hidden="1">'11-35'!$B$36:$Z$36</definedName>
    <definedName name="solver_lhs23" localSheetId="8" hidden="1">'11-35'!$B$36:$Z$36</definedName>
    <definedName name="solver_lhs24" localSheetId="8" hidden="1">'11-35'!$B$36:$Z$36</definedName>
    <definedName name="solver_lhs25" localSheetId="8" hidden="1">'11-35'!$B$36:$Z$36</definedName>
    <definedName name="solver_lhs26" localSheetId="8" hidden="1">'11-35'!$B$36:$Z$36</definedName>
    <definedName name="solver_lhs27" localSheetId="8" hidden="1">'11-35'!$B$36:$Z$36</definedName>
    <definedName name="solver_lhs3" localSheetId="8" hidden="1">'11-35'!$B$38:$B$46</definedName>
    <definedName name="solver_lhs4" localSheetId="8" hidden="1">'11-35'!$M$6</definedName>
    <definedName name="solver_lhs5" localSheetId="8" hidden="1">'11-35'!$B$38:$B$46</definedName>
    <definedName name="solver_lhs6" localSheetId="8" hidden="1">'11-35'!$B$38:$B$46</definedName>
    <definedName name="solver_lhs7" localSheetId="8" hidden="1">'11-35'!$B$38:$B$46</definedName>
    <definedName name="solver_lhs8" localSheetId="8" hidden="1">'11-35'!$B$38:$B$46</definedName>
    <definedName name="solver_lhs9" localSheetId="8" hidden="1">'11-35'!$B$38:$B$46</definedName>
    <definedName name="solver_lin" localSheetId="8" hidden="1">1</definedName>
    <definedName name="solver_mda" localSheetId="8" hidden="1">1</definedName>
    <definedName name="solver_mip" localSheetId="8" hidden="1">1000</definedName>
    <definedName name="solver_mni" localSheetId="8" hidden="1">30</definedName>
    <definedName name="solver_mod" localSheetId="8" hidden="1">5</definedName>
    <definedName name="solver_mrt" localSheetId="8" hidden="1">0.075</definedName>
    <definedName name="solver_msl" localSheetId="8" hidden="1">2</definedName>
    <definedName name="solver_mtr" localSheetId="8" hidden="1">0</definedName>
    <definedName name="solver_neg" localSheetId="8" hidden="1">1</definedName>
    <definedName name="solver_nod" localSheetId="8" hidden="1">1000</definedName>
    <definedName name="solver_ntr" localSheetId="8" hidden="1">0</definedName>
    <definedName name="solver_num" localSheetId="8" hidden="1">11</definedName>
    <definedName name="solver_nwt" localSheetId="8" hidden="1">1</definedName>
    <definedName name="solver_ofx" localSheetId="8" hidden="1">2</definedName>
    <definedName name="solver_opt" localSheetId="8" hidden="1">'11-35'!$M$5</definedName>
    <definedName name="solver_phr" localSheetId="8" hidden="1">2</definedName>
    <definedName name="solver_piv" localSheetId="8" hidden="1">0.000001</definedName>
    <definedName name="solver_pre" localSheetId="8" hidden="1">0.000001</definedName>
    <definedName name="solver_pro" localSheetId="8" hidden="1">2</definedName>
    <definedName name="solver_rbv" localSheetId="8" hidden="1">1</definedName>
    <definedName name="solver_rdp" localSheetId="8" hidden="1">0</definedName>
    <definedName name="solver_red" localSheetId="8" hidden="1">0.000001</definedName>
    <definedName name="solver_rel1" localSheetId="8" hidden="1">3</definedName>
    <definedName name="solver_rel10" localSheetId="8" hidden="1">1</definedName>
    <definedName name="solver_rel11" localSheetId="8" hidden="1">3</definedName>
    <definedName name="solver_rel12" localSheetId="8" hidden="1">3</definedName>
    <definedName name="solver_rel13" localSheetId="8" hidden="1">3</definedName>
    <definedName name="solver_rel14" localSheetId="8" hidden="1">3</definedName>
    <definedName name="solver_rel15" localSheetId="8" hidden="1">3</definedName>
    <definedName name="solver_rel16" localSheetId="8" hidden="1">3</definedName>
    <definedName name="solver_rel17" localSheetId="8" hidden="1">3</definedName>
    <definedName name="solver_rel18" localSheetId="8" hidden="1">3</definedName>
    <definedName name="solver_rel19" localSheetId="8" hidden="1">3</definedName>
    <definedName name="solver_rel2" localSheetId="8" hidden="1">3</definedName>
    <definedName name="solver_rel20" localSheetId="8" hidden="1">3</definedName>
    <definedName name="solver_rel21" localSheetId="8" hidden="1">3</definedName>
    <definedName name="solver_rel22" localSheetId="8" hidden="1">3</definedName>
    <definedName name="solver_rel23" localSheetId="8" hidden="1">3</definedName>
    <definedName name="solver_rel24" localSheetId="8" hidden="1">3</definedName>
    <definedName name="solver_rel25" localSheetId="8" hidden="1">3</definedName>
    <definedName name="solver_rel26" localSheetId="8" hidden="1">3</definedName>
    <definedName name="solver_rel27" localSheetId="8" hidden="1">3</definedName>
    <definedName name="solver_rel3" localSheetId="8" hidden="1">3</definedName>
    <definedName name="solver_rel4" localSheetId="8" hidden="1">1</definedName>
    <definedName name="solver_rel5" localSheetId="8" hidden="1">3</definedName>
    <definedName name="solver_rel6" localSheetId="8" hidden="1">3</definedName>
    <definedName name="solver_rel7" localSheetId="8" hidden="1">3</definedName>
    <definedName name="solver_rel8" localSheetId="8" hidden="1">3</definedName>
    <definedName name="solver_rel9" localSheetId="8" hidden="1">3</definedName>
    <definedName name="solver_rep" localSheetId="8" hidden="1">2</definedName>
    <definedName name="solver_rhs1" localSheetId="8" hidden="1">'11-35'!$H$38:$H$46</definedName>
    <definedName name="solver_rhs10" localSheetId="8" hidden="1">'11-35'!$B$35:$Z$35</definedName>
    <definedName name="solver_rhs11" localSheetId="8" hidden="1">'11-35'!$B$33:$Z$33</definedName>
    <definedName name="solver_rhs12" localSheetId="8" hidden="1">'11-35'!$B$33:$Z$33</definedName>
    <definedName name="solver_rhs13" localSheetId="8" hidden="1">'11-35'!$B$33:$Z$33</definedName>
    <definedName name="solver_rhs14" localSheetId="8" hidden="1">'11-35'!$B$33:$Z$33</definedName>
    <definedName name="solver_rhs15" localSheetId="8" hidden="1">'11-35'!$B$33:$Z$33</definedName>
    <definedName name="solver_rhs16" localSheetId="8" hidden="1">'11-35'!$B$33:$Z$33</definedName>
    <definedName name="solver_rhs17" localSheetId="8" hidden="1">'11-35'!$B$33:$Z$33</definedName>
    <definedName name="solver_rhs18" localSheetId="8" hidden="1">'11-35'!$B$33:$Z$33</definedName>
    <definedName name="solver_rhs19" localSheetId="8" hidden="1">'11-35'!$B$33:$Z$33</definedName>
    <definedName name="solver_rhs2" localSheetId="8" hidden="1">'11-35'!$I$38:$I$46</definedName>
    <definedName name="solver_rhs20" localSheetId="8" hidden="1">'11-35'!$B$33:$Z$33</definedName>
    <definedName name="solver_rhs21" localSheetId="8" hidden="1">'11-35'!$B$33:$Z$33</definedName>
    <definedName name="solver_rhs22" localSheetId="8" hidden="1">'11-35'!$B$33:$Z$33</definedName>
    <definedName name="solver_rhs23" localSheetId="8" hidden="1">'11-35'!$B$33:$Z$33</definedName>
    <definedName name="solver_rhs24" localSheetId="8" hidden="1">'11-35'!$B$33:$Z$33</definedName>
    <definedName name="solver_rhs25" localSheetId="8" hidden="1">'11-35'!$B$33:$Z$33</definedName>
    <definedName name="solver_rhs26" localSheetId="8" hidden="1">'11-35'!$B$33:$Z$33</definedName>
    <definedName name="solver_rhs27" localSheetId="8" hidden="1">'11-35'!$B$33:$Z$33</definedName>
    <definedName name="solver_rhs3" localSheetId="8" hidden="1">'11-35'!$J$38:$J$46</definedName>
    <definedName name="solver_rhs4" localSheetId="8" hidden="1">'11-35'!$B$6</definedName>
    <definedName name="solver_rhs5" localSheetId="8" hidden="1">'11-35'!$F$38:$F$46</definedName>
    <definedName name="solver_rhs6" localSheetId="8" hidden="1">'11-35'!$E$38:$E$46</definedName>
    <definedName name="solver_rhs7" localSheetId="8" hidden="1">'11-35'!$D$38:$D$46</definedName>
    <definedName name="solver_rhs8" localSheetId="8" hidden="1">'11-35'!$G$38:$G$46</definedName>
    <definedName name="solver_rhs9" localSheetId="8" hidden="1">'11-35'!$C$38:$C$46</definedName>
    <definedName name="solver_rlx" localSheetId="8" hidden="1">2</definedName>
    <definedName name="solver_rsd" localSheetId="8" hidden="1">0</definedName>
    <definedName name="solver_rtr" localSheetId="8" hidden="1">0</definedName>
    <definedName name="solver_scl" localSheetId="8" hidden="1">2</definedName>
    <definedName name="solver_sel" localSheetId="8" hidden="1">1</definedName>
    <definedName name="solver_sho" localSheetId="8" hidden="1">2</definedName>
    <definedName name="solver_ssz" localSheetId="8" hidden="1">100</definedName>
    <definedName name="solver_tim" localSheetId="8" hidden="1">100</definedName>
    <definedName name="solver_tol" localSheetId="8" hidden="1">0.05</definedName>
    <definedName name="solver_typ" localSheetId="8" hidden="1">2</definedName>
    <definedName name="solver_val" localSheetId="8" hidden="1">0</definedName>
    <definedName name="solver_ver" localSheetId="8" hidden="1">3</definedName>
    <definedName name="solver_vir" localSheetId="8" hidden="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4" i="20" l="1"/>
  <c r="E134" i="20"/>
  <c r="D134" i="20"/>
  <c r="C134" i="20"/>
  <c r="F109" i="20"/>
  <c r="E109" i="20"/>
  <c r="D109" i="20"/>
  <c r="C109" i="20"/>
  <c r="B109" i="20"/>
  <c r="A109" i="20"/>
  <c r="J136" i="20" s="1"/>
  <c r="F108" i="20"/>
  <c r="E108" i="20"/>
  <c r="D108" i="20"/>
  <c r="C108" i="20"/>
  <c r="B108" i="20"/>
  <c r="A108" i="20"/>
  <c r="F107" i="20"/>
  <c r="E107" i="20"/>
  <c r="D107" i="20"/>
  <c r="C107" i="20"/>
  <c r="B107" i="20"/>
  <c r="A107" i="20"/>
  <c r="A119" i="20" s="1"/>
  <c r="F106" i="20"/>
  <c r="E106" i="20"/>
  <c r="D106" i="20"/>
  <c r="C106" i="20"/>
  <c r="B106" i="20"/>
  <c r="A106" i="20"/>
  <c r="A130" i="20" s="1"/>
  <c r="F105" i="20"/>
  <c r="E105" i="20"/>
  <c r="D105" i="20"/>
  <c r="C105" i="20"/>
  <c r="B105" i="20"/>
  <c r="A105" i="20"/>
  <c r="F136" i="20" s="1"/>
  <c r="F104" i="20"/>
  <c r="E104" i="20"/>
  <c r="D104" i="20"/>
  <c r="C104" i="20"/>
  <c r="B104" i="20"/>
  <c r="H116" i="20" s="1"/>
  <c r="A104" i="20"/>
  <c r="A116" i="20" s="1"/>
  <c r="F103" i="20"/>
  <c r="E103" i="20"/>
  <c r="D103" i="20"/>
  <c r="C103" i="20"/>
  <c r="B103" i="20"/>
  <c r="A103" i="20"/>
  <c r="A115" i="20" s="1"/>
  <c r="F102" i="20"/>
  <c r="E102" i="20"/>
  <c r="D102" i="20"/>
  <c r="C102" i="20"/>
  <c r="B102" i="20"/>
  <c r="A102" i="20"/>
  <c r="A126" i="20" s="1"/>
  <c r="F101" i="20"/>
  <c r="E101" i="20"/>
  <c r="D101" i="20"/>
  <c r="C101" i="20"/>
  <c r="B101" i="20"/>
  <c r="A101" i="20"/>
  <c r="B136" i="20" s="1"/>
  <c r="F83" i="20"/>
  <c r="E83" i="20"/>
  <c r="D83" i="20"/>
  <c r="C83" i="20"/>
  <c r="F58" i="20"/>
  <c r="E58" i="20"/>
  <c r="D58" i="20"/>
  <c r="C58" i="20"/>
  <c r="B58" i="20"/>
  <c r="A58" i="20"/>
  <c r="F57" i="20"/>
  <c r="E57" i="20"/>
  <c r="D57" i="20"/>
  <c r="C57" i="20"/>
  <c r="B57" i="20"/>
  <c r="A57" i="20"/>
  <c r="F56" i="20"/>
  <c r="E56" i="20"/>
  <c r="D56" i="20"/>
  <c r="C56" i="20"/>
  <c r="B56" i="20"/>
  <c r="A56" i="20"/>
  <c r="A80" i="20" s="1"/>
  <c r="F55" i="20"/>
  <c r="E55" i="20"/>
  <c r="D55" i="20"/>
  <c r="C55" i="20"/>
  <c r="B55" i="20"/>
  <c r="A55" i="20"/>
  <c r="G85" i="20" s="1"/>
  <c r="F54" i="20"/>
  <c r="E54" i="20"/>
  <c r="D54" i="20"/>
  <c r="C54" i="20"/>
  <c r="B54" i="20"/>
  <c r="A54" i="20"/>
  <c r="F53" i="20"/>
  <c r="E53" i="20"/>
  <c r="D53" i="20"/>
  <c r="C53" i="20"/>
  <c r="B53" i="20"/>
  <c r="A53" i="20"/>
  <c r="F52" i="20"/>
  <c r="E52" i="20"/>
  <c r="D52" i="20"/>
  <c r="C52" i="20"/>
  <c r="B52" i="20"/>
  <c r="A52" i="20"/>
  <c r="D85" i="20" s="1"/>
  <c r="F51" i="20"/>
  <c r="E51" i="20"/>
  <c r="D51" i="20"/>
  <c r="C51" i="20"/>
  <c r="B51" i="20"/>
  <c r="A51" i="20"/>
  <c r="C85" i="20" s="1"/>
  <c r="F50" i="20"/>
  <c r="E50" i="20"/>
  <c r="D50" i="20"/>
  <c r="C50" i="20"/>
  <c r="B50" i="20"/>
  <c r="A50" i="20"/>
  <c r="B85" i="20" s="1"/>
  <c r="J46" i="20"/>
  <c r="I46" i="20"/>
  <c r="H46" i="20"/>
  <c r="G46" i="20"/>
  <c r="F46" i="20"/>
  <c r="E46" i="20"/>
  <c r="D46" i="20"/>
  <c r="C46" i="20"/>
  <c r="B38" i="20" a="1"/>
  <c r="B45" i="20" s="1"/>
  <c r="A38" i="20" a="1"/>
  <c r="A45" i="20" s="1"/>
  <c r="J36" i="20"/>
  <c r="I36" i="20"/>
  <c r="H36" i="20"/>
  <c r="G36" i="20"/>
  <c r="F36" i="20"/>
  <c r="E36" i="20"/>
  <c r="D36" i="20"/>
  <c r="C36" i="20"/>
  <c r="B36" i="20"/>
  <c r="B32" i="20" a="1"/>
  <c r="I32" i="20" s="1"/>
  <c r="A30" i="20"/>
  <c r="A29" i="20"/>
  <c r="A28" i="20"/>
  <c r="A27" i="20"/>
  <c r="A26" i="20"/>
  <c r="A25" i="20"/>
  <c r="A24" i="20"/>
  <c r="B21" i="20" s="1" a="1"/>
  <c r="I21" i="20" s="1"/>
  <c r="A23" i="20"/>
  <c r="A22" i="20"/>
  <c r="M18" i="20"/>
  <c r="L18" i="20"/>
  <c r="M17" i="20"/>
  <c r="L17" i="20"/>
  <c r="M16" i="20"/>
  <c r="L16" i="20"/>
  <c r="M15" i="20"/>
  <c r="L15" i="20"/>
  <c r="M14" i="20"/>
  <c r="L14" i="20"/>
  <c r="M13" i="20"/>
  <c r="L13" i="20"/>
  <c r="M12" i="20"/>
  <c r="L12" i="20"/>
  <c r="M11" i="20"/>
  <c r="L11" i="20"/>
  <c r="M10" i="20"/>
  <c r="L10" i="20"/>
  <c r="K10" i="20" a="1"/>
  <c r="K17" i="20" s="1"/>
  <c r="M5" i="20" l="1"/>
  <c r="J32" i="20"/>
  <c r="B32" i="20"/>
  <c r="B35" i="20" a="1"/>
  <c r="J35" i="20" s="1"/>
  <c r="F32" i="20"/>
  <c r="K12" i="20"/>
  <c r="K16" i="20"/>
  <c r="K10" i="20"/>
  <c r="K14" i="20"/>
  <c r="K18" i="20"/>
  <c r="D32" i="20"/>
  <c r="H32" i="20"/>
  <c r="D21" i="20"/>
  <c r="D30" i="20" s="1"/>
  <c r="H21" i="20"/>
  <c r="H30" i="20" s="1"/>
  <c r="B21" i="20"/>
  <c r="B30" i="20" s="1"/>
  <c r="F21" i="20"/>
  <c r="F30" i="20" s="1"/>
  <c r="J21" i="20"/>
  <c r="J30" i="20" s="1"/>
  <c r="I30" i="20"/>
  <c r="I29" i="20"/>
  <c r="J45" i="20" s="1"/>
  <c r="I28" i="20"/>
  <c r="I27" i="20"/>
  <c r="I26" i="20"/>
  <c r="I25" i="20"/>
  <c r="I24" i="20"/>
  <c r="I23" i="20"/>
  <c r="I22" i="20"/>
  <c r="F22" i="20"/>
  <c r="K11" i="20"/>
  <c r="K13" i="20"/>
  <c r="K15" i="20"/>
  <c r="C21" i="20"/>
  <c r="E21" i="20"/>
  <c r="G21" i="20"/>
  <c r="C32" i="20"/>
  <c r="E32" i="20"/>
  <c r="G32" i="20"/>
  <c r="A38" i="20"/>
  <c r="A40" i="20"/>
  <c r="A42" i="20"/>
  <c r="A44" i="20"/>
  <c r="A46" i="20"/>
  <c r="B38" i="20"/>
  <c r="B40" i="20"/>
  <c r="B42" i="20"/>
  <c r="B44" i="20"/>
  <c r="B46" i="20"/>
  <c r="A64" i="20"/>
  <c r="A68" i="20"/>
  <c r="A76" i="20"/>
  <c r="A86" i="20"/>
  <c r="A88" i="20"/>
  <c r="E115" i="20"/>
  <c r="D115" i="20" s="1"/>
  <c r="E116" i="20"/>
  <c r="D116" i="20" s="1"/>
  <c r="E119" i="20"/>
  <c r="D119" i="20" s="1"/>
  <c r="D22" i="20"/>
  <c r="E38" i="20" s="1"/>
  <c r="H22" i="20"/>
  <c r="J22" i="20"/>
  <c r="D23" i="20"/>
  <c r="F23" i="20"/>
  <c r="J23" i="20"/>
  <c r="D24" i="20"/>
  <c r="H24" i="20"/>
  <c r="J24" i="20"/>
  <c r="D25" i="20"/>
  <c r="F25" i="20"/>
  <c r="J25" i="20"/>
  <c r="D26" i="20"/>
  <c r="E42" i="20" s="1"/>
  <c r="H26" i="20"/>
  <c r="J26" i="20"/>
  <c r="D27" i="20"/>
  <c r="F27" i="20"/>
  <c r="J27" i="20"/>
  <c r="D28" i="20"/>
  <c r="H28" i="20"/>
  <c r="J28" i="20"/>
  <c r="D29" i="20"/>
  <c r="E45" i="20" s="1"/>
  <c r="F29" i="20"/>
  <c r="G45" i="20" s="1"/>
  <c r="J29" i="20"/>
  <c r="A39" i="20"/>
  <c r="A41" i="20"/>
  <c r="A43" i="20"/>
  <c r="B39" i="20"/>
  <c r="B41" i="20"/>
  <c r="B43" i="20"/>
  <c r="A75" i="20"/>
  <c r="A63" i="20"/>
  <c r="A77" i="20"/>
  <c r="A65" i="20"/>
  <c r="A90" i="20"/>
  <c r="F85" i="20"/>
  <c r="A91" i="20"/>
  <c r="A79" i="20"/>
  <c r="A67" i="20"/>
  <c r="A92" i="20"/>
  <c r="H85" i="20"/>
  <c r="A93" i="20"/>
  <c r="A81" i="20"/>
  <c r="A69" i="20"/>
  <c r="A94" i="20"/>
  <c r="J85" i="20"/>
  <c r="A62" i="20"/>
  <c r="A66" i="20"/>
  <c r="A70" i="20"/>
  <c r="A74" i="20"/>
  <c r="A78" i="20"/>
  <c r="A82" i="20"/>
  <c r="E85" i="20"/>
  <c r="I85" i="20"/>
  <c r="A87" i="20"/>
  <c r="A89" i="20"/>
  <c r="A113" i="20"/>
  <c r="A114" i="20"/>
  <c r="A117" i="20"/>
  <c r="A121" i="20"/>
  <c r="A137" i="20"/>
  <c r="A125" i="20"/>
  <c r="A138" i="20"/>
  <c r="C136" i="20"/>
  <c r="A139" i="20"/>
  <c r="A127" i="20"/>
  <c r="A140" i="20"/>
  <c r="E136" i="20"/>
  <c r="A141" i="20"/>
  <c r="A129" i="20"/>
  <c r="A142" i="20"/>
  <c r="G136" i="20"/>
  <c r="A143" i="20"/>
  <c r="A131" i="20"/>
  <c r="A144" i="20"/>
  <c r="I136" i="20"/>
  <c r="A145" i="20"/>
  <c r="A133" i="20"/>
  <c r="A118" i="20"/>
  <c r="A120" i="20"/>
  <c r="A128" i="20"/>
  <c r="A132" i="20"/>
  <c r="D136" i="20"/>
  <c r="H136" i="20"/>
  <c r="E44" i="20" l="1"/>
  <c r="E40" i="20"/>
  <c r="I42" i="20"/>
  <c r="I38" i="20"/>
  <c r="E35" i="20"/>
  <c r="D35" i="20"/>
  <c r="I35" i="20"/>
  <c r="H35" i="20"/>
  <c r="C35" i="20"/>
  <c r="G35" i="20"/>
  <c r="B35" i="20"/>
  <c r="F35" i="20"/>
  <c r="E80" i="20"/>
  <c r="B29" i="20"/>
  <c r="C45" i="20" s="1"/>
  <c r="I44" i="20"/>
  <c r="B28" i="20"/>
  <c r="C44" i="20" s="1"/>
  <c r="B27" i="20"/>
  <c r="B26" i="20"/>
  <c r="C42" i="20" s="1"/>
  <c r="B25" i="20"/>
  <c r="I40" i="20"/>
  <c r="B24" i="20"/>
  <c r="C40" i="20" s="1"/>
  <c r="B23" i="20"/>
  <c r="B22" i="20"/>
  <c r="C38" i="20" s="1"/>
  <c r="E126" i="20"/>
  <c r="H29" i="20"/>
  <c r="I45" i="20" s="1"/>
  <c r="F28" i="20"/>
  <c r="G44" i="20" s="1"/>
  <c r="H27" i="20"/>
  <c r="F26" i="20"/>
  <c r="G42" i="20" s="1"/>
  <c r="H25" i="20"/>
  <c r="F24" i="20"/>
  <c r="G40" i="20" s="1"/>
  <c r="H23" i="20"/>
  <c r="E128" i="20"/>
  <c r="F128" i="20"/>
  <c r="D128" i="20"/>
  <c r="E132" i="20"/>
  <c r="F132" i="20"/>
  <c r="E120" i="20"/>
  <c r="D120" i="20" s="1"/>
  <c r="F133" i="20"/>
  <c r="D133" i="20"/>
  <c r="E133" i="20"/>
  <c r="C133" i="20"/>
  <c r="F131" i="20"/>
  <c r="E131" i="20"/>
  <c r="F129" i="20"/>
  <c r="D129" i="20"/>
  <c r="E129" i="20"/>
  <c r="F127" i="20"/>
  <c r="D127" i="20"/>
  <c r="E127" i="20"/>
  <c r="F125" i="20"/>
  <c r="D125" i="20"/>
  <c r="E125" i="20"/>
  <c r="C125" i="20"/>
  <c r="F121" i="20"/>
  <c r="D121" i="20"/>
  <c r="B121" i="20"/>
  <c r="C121" i="20"/>
  <c r="E121" i="20"/>
  <c r="E114" i="20"/>
  <c r="D114" i="20" s="1"/>
  <c r="E82" i="20"/>
  <c r="C82" i="20"/>
  <c r="F82" i="20"/>
  <c r="D82" i="20"/>
  <c r="E74" i="20"/>
  <c r="C74" i="20"/>
  <c r="F74" i="20"/>
  <c r="D74" i="20"/>
  <c r="F79" i="20"/>
  <c r="D79" i="20"/>
  <c r="E79" i="20"/>
  <c r="G43" i="20"/>
  <c r="C43" i="20"/>
  <c r="G41" i="20"/>
  <c r="C41" i="20"/>
  <c r="G39" i="20"/>
  <c r="C39" i="20"/>
  <c r="F130" i="20"/>
  <c r="D126" i="20"/>
  <c r="E76" i="20"/>
  <c r="D76" i="20"/>
  <c r="F76" i="20"/>
  <c r="E30" i="20"/>
  <c r="E29" i="20"/>
  <c r="F45" i="20" s="1"/>
  <c r="E28" i="20"/>
  <c r="F44" i="20" s="1"/>
  <c r="E27" i="20"/>
  <c r="F43" i="20" s="1"/>
  <c r="E26" i="20"/>
  <c r="F42" i="20" s="1"/>
  <c r="E25" i="20"/>
  <c r="F41" i="20" s="1"/>
  <c r="E24" i="20"/>
  <c r="F40" i="20" s="1"/>
  <c r="E23" i="20"/>
  <c r="F39" i="20" s="1"/>
  <c r="E22" i="20"/>
  <c r="F38" i="20" s="1"/>
  <c r="J39" i="20"/>
  <c r="J41" i="20"/>
  <c r="J43" i="20"/>
  <c r="E118" i="20"/>
  <c r="D118" i="20" s="1"/>
  <c r="E117" i="20"/>
  <c r="D117" i="20" s="1"/>
  <c r="E113" i="20"/>
  <c r="E78" i="20"/>
  <c r="F78" i="20"/>
  <c r="D78" i="20"/>
  <c r="B70" i="20"/>
  <c r="C70" i="20"/>
  <c r="F81" i="20"/>
  <c r="E81" i="20"/>
  <c r="F77" i="20"/>
  <c r="D77" i="20"/>
  <c r="E77" i="20"/>
  <c r="F75" i="20"/>
  <c r="D75" i="20"/>
  <c r="E75" i="20"/>
  <c r="C75" i="20"/>
  <c r="I43" i="20"/>
  <c r="E43" i="20"/>
  <c r="I41" i="20"/>
  <c r="E41" i="20"/>
  <c r="I39" i="20"/>
  <c r="E39" i="20"/>
  <c r="D130" i="20"/>
  <c r="E130" i="20"/>
  <c r="F126" i="20"/>
  <c r="C126" i="20"/>
  <c r="J94" i="20"/>
  <c r="G30" i="20"/>
  <c r="G29" i="20"/>
  <c r="H45" i="20" s="1"/>
  <c r="G28" i="20"/>
  <c r="H44" i="20" s="1"/>
  <c r="G27" i="20"/>
  <c r="H43" i="20" s="1"/>
  <c r="G26" i="20"/>
  <c r="H42" i="20" s="1"/>
  <c r="G25" i="20"/>
  <c r="H41" i="20" s="1"/>
  <c r="G24" i="20"/>
  <c r="H40" i="20" s="1"/>
  <c r="G23" i="20"/>
  <c r="H39" i="20" s="1"/>
  <c r="G22" i="20"/>
  <c r="H38" i="20" s="1"/>
  <c r="C30" i="20"/>
  <c r="C29" i="20"/>
  <c r="D45" i="20" s="1"/>
  <c r="C28" i="20"/>
  <c r="D44" i="20" s="1"/>
  <c r="C27" i="20"/>
  <c r="D43" i="20" s="1"/>
  <c r="C26" i="20"/>
  <c r="D42" i="20" s="1"/>
  <c r="C25" i="20"/>
  <c r="D41" i="20" s="1"/>
  <c r="C24" i="20"/>
  <c r="D40" i="20" s="1"/>
  <c r="C23" i="20"/>
  <c r="D39" i="20" s="1"/>
  <c r="C22" i="20"/>
  <c r="D38" i="20" s="1"/>
  <c r="G38" i="20"/>
  <c r="F80" i="20"/>
  <c r="J38" i="20"/>
  <c r="J40" i="20"/>
  <c r="J42" i="20"/>
  <c r="J44" i="20"/>
  <c r="B113" i="20" l="1"/>
  <c r="C113" i="20" s="1"/>
  <c r="B62" i="20"/>
  <c r="C62" i="20" s="1"/>
  <c r="B114" i="20"/>
  <c r="C114" i="20" s="1"/>
  <c r="C128" i="20" s="1"/>
  <c r="B63" i="20"/>
  <c r="C63" i="20" s="1"/>
  <c r="C77" i="20" s="1"/>
  <c r="B65" i="20" s="1"/>
  <c r="C65" i="20" s="1"/>
  <c r="C80" i="20" s="1"/>
  <c r="E111" i="20"/>
  <c r="D113" i="20"/>
  <c r="F113" i="20" s="1"/>
  <c r="J145" i="20"/>
  <c r="B116" i="20"/>
  <c r="C76" i="20" l="1"/>
  <c r="B64" i="20" s="1"/>
  <c r="C64" i="20" s="1"/>
  <c r="C79" i="20" s="1"/>
  <c r="B67" i="20" s="1"/>
  <c r="C67" i="20" s="1"/>
  <c r="C81" i="20" s="1"/>
  <c r="C78" i="20"/>
  <c r="B66" i="20" s="1"/>
  <c r="C66" i="20" s="1"/>
  <c r="D80" i="20" s="1"/>
  <c r="B68" i="20" s="1"/>
  <c r="C68" i="20" s="1"/>
  <c r="D81" i="20" s="1"/>
  <c r="C127" i="20"/>
  <c r="B115" i="20" s="1"/>
  <c r="C115" i="20" s="1"/>
  <c r="C130" i="20" s="1"/>
  <c r="B118" i="20" s="1"/>
  <c r="C129" i="20"/>
  <c r="B117" i="20" s="1"/>
  <c r="F115" i="20"/>
  <c r="F114" i="20"/>
  <c r="I116" i="20"/>
  <c r="C116" i="20"/>
  <c r="C131" i="20" s="1"/>
  <c r="F116" i="20"/>
  <c r="B88" i="20"/>
  <c r="B90" i="20"/>
  <c r="D91" i="20"/>
  <c r="E92" i="20"/>
  <c r="B69" i="20" l="1"/>
  <c r="C69" i="20" s="1"/>
  <c r="C71" i="20" s="1"/>
  <c r="C93" i="20"/>
  <c r="B92" i="20"/>
  <c r="C94" i="20"/>
  <c r="C87" i="20"/>
  <c r="G86" i="20"/>
  <c r="D88" i="20"/>
  <c r="D90" i="20"/>
  <c r="H91" i="20"/>
  <c r="H92" i="20"/>
  <c r="H93" i="20"/>
  <c r="H94" i="20"/>
  <c r="H90" i="20"/>
  <c r="I92" i="20"/>
  <c r="I87" i="20"/>
  <c r="J87" i="20"/>
  <c r="E87" i="20"/>
  <c r="J92" i="20"/>
  <c r="F86" i="20"/>
  <c r="J86" i="20"/>
  <c r="H87" i="20"/>
  <c r="J89" i="20"/>
  <c r="E88" i="20"/>
  <c r="F5" i="20"/>
  <c r="B94" i="20"/>
  <c r="C90" i="20"/>
  <c r="G91" i="20"/>
  <c r="D87" i="20"/>
  <c r="D89" i="20"/>
  <c r="D92" i="20"/>
  <c r="D93" i="20"/>
  <c r="D94" i="20"/>
  <c r="H86" i="20"/>
  <c r="H88" i="20"/>
  <c r="I90" i="20"/>
  <c r="J91" i="20"/>
  <c r="E94" i="20"/>
  <c r="E90" i="20"/>
  <c r="I86" i="20"/>
  <c r="J88" i="20"/>
  <c r="E86" i="20"/>
  <c r="H89" i="20"/>
  <c r="I91" i="20"/>
  <c r="I88" i="20"/>
  <c r="E93" i="20"/>
  <c r="E89" i="20"/>
  <c r="J90" i="20"/>
  <c r="I89" i="20"/>
  <c r="E91" i="20"/>
  <c r="D86" i="20"/>
  <c r="G89" i="20"/>
  <c r="G93" i="20"/>
  <c r="C88" i="20"/>
  <c r="C92" i="20"/>
  <c r="F94" i="20"/>
  <c r="B93" i="20"/>
  <c r="B91" i="20"/>
  <c r="B89" i="20"/>
  <c r="B87" i="20"/>
  <c r="F93" i="20"/>
  <c r="F92" i="20"/>
  <c r="F91" i="20"/>
  <c r="F90" i="20"/>
  <c r="F89" i="20"/>
  <c r="F88" i="20"/>
  <c r="F87" i="20"/>
  <c r="G90" i="20"/>
  <c r="C118" i="20"/>
  <c r="C132" i="20" s="1"/>
  <c r="F118" i="20"/>
  <c r="C117" i="20"/>
  <c r="D131" i="20" s="1"/>
  <c r="B119" i="20" s="1"/>
  <c r="F117" i="20"/>
  <c r="G87" i="20"/>
  <c r="G94" i="20"/>
  <c r="B86" i="20"/>
  <c r="G88" i="20"/>
  <c r="G92" i="20"/>
  <c r="C86" i="20"/>
  <c r="C89" i="20"/>
  <c r="C91" i="20"/>
  <c r="I94" i="20"/>
  <c r="I93" i="20"/>
  <c r="J93" i="20"/>
  <c r="E143" i="20"/>
  <c r="G144" i="20"/>
  <c r="B141" i="20"/>
  <c r="B139" i="20"/>
  <c r="C140" i="20"/>
  <c r="D142" i="20"/>
  <c r="C119" i="20" l="1"/>
  <c r="D132" i="20" s="1"/>
  <c r="F119" i="20"/>
  <c r="B120" i="20"/>
  <c r="C120" i="20"/>
  <c r="C122" i="20" s="1"/>
  <c r="F120" i="20"/>
  <c r="I144" i="20" l="1"/>
  <c r="I145" i="20"/>
  <c r="F6" i="20"/>
  <c r="A7" i="20" s="1"/>
  <c r="E142" i="20"/>
  <c r="I143" i="20"/>
  <c r="F144" i="20"/>
  <c r="J138" i="20"/>
  <c r="J142" i="20"/>
  <c r="F139" i="20"/>
  <c r="H142" i="20"/>
  <c r="F145" i="20"/>
  <c r="F138" i="20"/>
  <c r="J140" i="20"/>
  <c r="F137" i="20"/>
  <c r="J139" i="20"/>
  <c r="F141" i="20"/>
  <c r="E145" i="20"/>
  <c r="H139" i="20"/>
  <c r="B137" i="20"/>
  <c r="D140" i="20"/>
  <c r="I137" i="20"/>
  <c r="D145" i="20"/>
  <c r="D137" i="20"/>
  <c r="D143" i="20"/>
  <c r="C145" i="20"/>
  <c r="D144" i="20"/>
  <c r="C142" i="20"/>
  <c r="C138" i="20"/>
  <c r="E140" i="20"/>
  <c r="E138" i="20"/>
  <c r="H143" i="20"/>
  <c r="H137" i="20"/>
  <c r="H144" i="20"/>
  <c r="G142" i="20"/>
  <c r="G140" i="20"/>
  <c r="G138" i="20"/>
  <c r="I141" i="20"/>
  <c r="I139" i="20"/>
  <c r="D141" i="20"/>
  <c r="G143" i="20"/>
  <c r="G139" i="20"/>
  <c r="I140" i="20"/>
  <c r="I138" i="20"/>
  <c r="J144" i="20"/>
  <c r="B143" i="20"/>
  <c r="J143" i="20"/>
  <c r="B144" i="20"/>
  <c r="C144" i="20"/>
  <c r="F140" i="20"/>
  <c r="J137" i="20"/>
  <c r="F143" i="20"/>
  <c r="B145" i="20"/>
  <c r="B140" i="20"/>
  <c r="F142" i="20"/>
  <c r="H140" i="20"/>
  <c r="H145" i="20"/>
  <c r="B138" i="20"/>
  <c r="B142" i="20"/>
  <c r="H138" i="20"/>
  <c r="J141" i="20"/>
  <c r="C137" i="20"/>
  <c r="G137" i="20"/>
  <c r="D138" i="20"/>
  <c r="D139" i="20"/>
  <c r="E144" i="20"/>
  <c r="C143" i="20"/>
  <c r="C141" i="20"/>
  <c r="C139" i="20"/>
  <c r="E141" i="20"/>
  <c r="E139" i="20"/>
  <c r="E137" i="20"/>
  <c r="H141" i="20"/>
  <c r="G145" i="20"/>
  <c r="G141" i="20"/>
  <c r="I142" i="20"/>
  <c r="A61" i="19" l="1"/>
  <c r="A59" i="19"/>
  <c r="A57" i="19"/>
  <c r="A55" i="19"/>
  <c r="A53" i="19"/>
  <c r="A41" i="19"/>
  <c r="H30" i="19"/>
  <c r="A29" i="19"/>
  <c r="A25" i="19"/>
  <c r="J52" i="19" s="1"/>
  <c r="A24" i="19"/>
  <c r="I52" i="19" s="1"/>
  <c r="A23" i="19"/>
  <c r="H52" i="19" s="1"/>
  <c r="A22" i="19"/>
  <c r="G52" i="19" s="1"/>
  <c r="A21" i="19"/>
  <c r="F52" i="19" s="1"/>
  <c r="A20" i="19"/>
  <c r="E52" i="19" s="1"/>
  <c r="A19" i="19"/>
  <c r="D52" i="19" s="1"/>
  <c r="A18" i="19"/>
  <c r="C52" i="19" s="1"/>
  <c r="A17" i="19"/>
  <c r="B52" i="19" s="1"/>
  <c r="G14" i="19"/>
  <c r="H14" i="19" s="1"/>
  <c r="H37" i="19" s="1"/>
  <c r="F14" i="19"/>
  <c r="B25" i="19" s="1"/>
  <c r="E14" i="19"/>
  <c r="G13" i="19"/>
  <c r="H13" i="19" s="1"/>
  <c r="H36" i="19" s="1"/>
  <c r="F13" i="19"/>
  <c r="B24" i="19" s="1"/>
  <c r="E13" i="19"/>
  <c r="G12" i="19"/>
  <c r="H12" i="19" s="1"/>
  <c r="H35" i="19" s="1"/>
  <c r="F12" i="19"/>
  <c r="B23" i="19" s="1"/>
  <c r="E12" i="19"/>
  <c r="G11" i="19"/>
  <c r="H11" i="19" s="1"/>
  <c r="H34" i="19" s="1"/>
  <c r="F11" i="19"/>
  <c r="B22" i="19" s="1"/>
  <c r="E11" i="19"/>
  <c r="G10" i="19"/>
  <c r="H10" i="19" s="1"/>
  <c r="H33" i="19" s="1"/>
  <c r="F10" i="19"/>
  <c r="B21" i="19" s="1"/>
  <c r="E10" i="19"/>
  <c r="G9" i="19"/>
  <c r="H9" i="19" s="1"/>
  <c r="H32" i="19" s="1"/>
  <c r="F9" i="19"/>
  <c r="B20" i="19" s="1"/>
  <c r="E9" i="19"/>
  <c r="G8" i="19"/>
  <c r="H8" i="19" s="1"/>
  <c r="H31" i="19" s="1"/>
  <c r="F8" i="19"/>
  <c r="B19" i="19" s="1"/>
  <c r="E8" i="19"/>
  <c r="G7" i="19"/>
  <c r="H7" i="19" s="1"/>
  <c r="F7" i="19"/>
  <c r="B18" i="19" s="1"/>
  <c r="E7" i="19"/>
  <c r="G6" i="19"/>
  <c r="H6" i="19" s="1"/>
  <c r="H29" i="19" s="1"/>
  <c r="F6" i="19"/>
  <c r="B17" i="19" s="1"/>
  <c r="E6" i="19"/>
  <c r="A71" i="18"/>
  <c r="A69" i="18"/>
  <c r="A67" i="18"/>
  <c r="A65" i="18"/>
  <c r="A63" i="18"/>
  <c r="A61" i="18"/>
  <c r="A54" i="18"/>
  <c r="A50" i="18"/>
  <c r="A49" i="18"/>
  <c r="A48" i="18"/>
  <c r="A47" i="18"/>
  <c r="A42" i="18"/>
  <c r="A38" i="18"/>
  <c r="A35" i="18"/>
  <c r="A33" i="18"/>
  <c r="A29" i="18"/>
  <c r="L60" i="18" s="1"/>
  <c r="A28" i="18"/>
  <c r="A27" i="18"/>
  <c r="J60" i="18" s="1"/>
  <c r="A26" i="18"/>
  <c r="A25" i="18"/>
  <c r="H60" i="18" s="1"/>
  <c r="A24" i="18"/>
  <c r="A23" i="18"/>
  <c r="F60" i="18" s="1"/>
  <c r="A22" i="18"/>
  <c r="E60" i="18" s="1"/>
  <c r="A21" i="18"/>
  <c r="D60" i="18" s="1"/>
  <c r="A20" i="18"/>
  <c r="A19" i="18"/>
  <c r="B60" i="18" s="1"/>
  <c r="G16" i="18"/>
  <c r="H16" i="18" s="1"/>
  <c r="H43" i="18" s="1"/>
  <c r="F16" i="18"/>
  <c r="B29" i="18" s="1"/>
  <c r="E16" i="18"/>
  <c r="G15" i="18"/>
  <c r="H15" i="18" s="1"/>
  <c r="H42" i="18" s="1"/>
  <c r="F15" i="18"/>
  <c r="B28" i="18" s="1"/>
  <c r="E15" i="18"/>
  <c r="G14" i="18"/>
  <c r="H14" i="18" s="1"/>
  <c r="H41" i="18" s="1"/>
  <c r="F14" i="18"/>
  <c r="B27" i="18" s="1"/>
  <c r="E14" i="18"/>
  <c r="G13" i="18"/>
  <c r="H13" i="18" s="1"/>
  <c r="H40" i="18" s="1"/>
  <c r="F13" i="18"/>
  <c r="B26" i="18" s="1"/>
  <c r="E13" i="18"/>
  <c r="G12" i="18"/>
  <c r="H12" i="18" s="1"/>
  <c r="H39" i="18" s="1"/>
  <c r="F12" i="18"/>
  <c r="B25" i="18" s="1"/>
  <c r="E12" i="18"/>
  <c r="G11" i="18"/>
  <c r="H11" i="18" s="1"/>
  <c r="H38" i="18" s="1"/>
  <c r="F11" i="18"/>
  <c r="B24" i="18" s="1"/>
  <c r="E11" i="18"/>
  <c r="G10" i="18"/>
  <c r="H10" i="18" s="1"/>
  <c r="H37" i="18" s="1"/>
  <c r="F10" i="18"/>
  <c r="B23" i="18" s="1"/>
  <c r="E10" i="18"/>
  <c r="G9" i="18"/>
  <c r="H9" i="18" s="1"/>
  <c r="H36" i="18" s="1"/>
  <c r="F9" i="18"/>
  <c r="B22" i="18" s="1"/>
  <c r="E9" i="18"/>
  <c r="G8" i="18"/>
  <c r="H8" i="18" s="1"/>
  <c r="H35" i="18" s="1"/>
  <c r="F8" i="18"/>
  <c r="B21" i="18" s="1"/>
  <c r="E8" i="18"/>
  <c r="G7" i="18"/>
  <c r="H7" i="18" s="1"/>
  <c r="H34" i="18" s="1"/>
  <c r="F7" i="18"/>
  <c r="B20" i="18" s="1"/>
  <c r="E7" i="18"/>
  <c r="G6" i="18"/>
  <c r="H6" i="18" s="1"/>
  <c r="H33" i="18" s="1"/>
  <c r="F6" i="18"/>
  <c r="B19" i="18" s="1"/>
  <c r="E6" i="18"/>
  <c r="C60" i="18" l="1"/>
  <c r="A34" i="18"/>
  <c r="G60" i="18"/>
  <c r="A66" i="18"/>
  <c r="I60" i="18"/>
  <c r="A68" i="18"/>
  <c r="K60" i="18"/>
  <c r="A70" i="18"/>
  <c r="A36" i="18"/>
  <c r="D48" i="18" s="1"/>
  <c r="A40" i="18"/>
  <c r="A52" i="18"/>
  <c r="A56" i="18"/>
  <c r="A62" i="18"/>
  <c r="A64" i="18"/>
  <c r="A32" i="19"/>
  <c r="A34" i="19"/>
  <c r="A36" i="19"/>
  <c r="A42" i="19"/>
  <c r="A44" i="19"/>
  <c r="A46" i="19"/>
  <c r="A48" i="19"/>
  <c r="A54" i="19"/>
  <c r="A56" i="19"/>
  <c r="A58" i="19"/>
  <c r="A60" i="19"/>
  <c r="A37" i="18"/>
  <c r="D49" i="18" s="1"/>
  <c r="A39" i="18"/>
  <c r="A41" i="18"/>
  <c r="A43" i="18"/>
  <c r="A51" i="18"/>
  <c r="A53" i="18"/>
  <c r="A55" i="18"/>
  <c r="A57" i="18"/>
  <c r="A30" i="19"/>
  <c r="E48" i="19" s="1"/>
  <c r="A31" i="19"/>
  <c r="A33" i="19"/>
  <c r="A35" i="19"/>
  <c r="A37" i="19"/>
  <c r="A43" i="19"/>
  <c r="A45" i="19"/>
  <c r="A47" i="19"/>
  <c r="A49" i="19"/>
  <c r="E41" i="19"/>
  <c r="E43" i="19"/>
  <c r="D46" i="19"/>
  <c r="E46" i="19" l="1"/>
  <c r="E44" i="19"/>
  <c r="D42" i="19"/>
  <c r="C47" i="18"/>
  <c r="C49" i="18"/>
  <c r="B35" i="18" s="1"/>
  <c r="C35" i="18" s="1"/>
  <c r="C50" i="18" s="1"/>
  <c r="D50" i="18"/>
  <c r="D47" i="19"/>
  <c r="D45" i="19"/>
  <c r="E42" i="19"/>
  <c r="C41" i="19"/>
  <c r="E47" i="19"/>
  <c r="E45" i="19"/>
  <c r="D43" i="19"/>
  <c r="D41" i="19"/>
  <c r="C48" i="18"/>
  <c r="B34" i="18" s="1"/>
  <c r="C34" i="18" s="1"/>
  <c r="C51" i="18" s="1"/>
  <c r="D47" i="18"/>
  <c r="B29" i="19" l="1"/>
  <c r="C29" i="19" s="1"/>
  <c r="B33" i="18"/>
  <c r="C33" i="18" s="1"/>
  <c r="B36" i="18"/>
  <c r="C36" i="18" s="1"/>
  <c r="D51" i="18" s="1"/>
  <c r="B37" i="18" s="1"/>
  <c r="C37" i="18" s="1"/>
  <c r="D52" i="18"/>
  <c r="D53" i="18"/>
  <c r="C52" i="18" l="1"/>
  <c r="C53" i="18"/>
  <c r="B39" i="18" s="1"/>
  <c r="C39" i="18" s="1"/>
  <c r="B38" i="18"/>
  <c r="C38" i="18" s="1"/>
  <c r="C42" i="19"/>
  <c r="B30" i="19" s="1"/>
  <c r="C30" i="19" s="1"/>
  <c r="C44" i="19" s="1"/>
  <c r="C43" i="19"/>
  <c r="B31" i="19" s="1"/>
  <c r="C31" i="19" s="1"/>
  <c r="D44" i="19" s="1"/>
  <c r="C54" i="18"/>
  <c r="D54" i="18"/>
  <c r="D56" i="18"/>
  <c r="D55" i="18"/>
  <c r="C56" i="18" l="1"/>
  <c r="C55" i="18"/>
  <c r="B32" i="19"/>
  <c r="C32" i="19" s="1"/>
  <c r="B42" i="18"/>
  <c r="C42" i="18" s="1"/>
  <c r="B41" i="18"/>
  <c r="C41" i="18" s="1"/>
  <c r="D57" i="18" s="1"/>
  <c r="B40" i="18"/>
  <c r="C40" i="18" s="1"/>
  <c r="C57" i="18" s="1"/>
  <c r="C46" i="19" l="1"/>
  <c r="B34" i="19" s="1"/>
  <c r="C34" i="19" s="1"/>
  <c r="C45" i="19"/>
  <c r="B33" i="19" s="1"/>
  <c r="C33" i="19" s="1"/>
  <c r="C49" i="19" s="1"/>
  <c r="C47" i="19"/>
  <c r="B35" i="19" s="1"/>
  <c r="C35" i="19" s="1"/>
  <c r="D48" i="19" s="1"/>
  <c r="B43" i="18"/>
  <c r="C43" i="18" s="1"/>
  <c r="C44" i="18" s="1"/>
  <c r="D49" i="19" l="1"/>
  <c r="C48" i="19"/>
  <c r="B36" i="19" s="1"/>
  <c r="C36" i="19" s="1"/>
  <c r="E49" i="19" s="1"/>
  <c r="I63" i="18"/>
  <c r="B71" i="18"/>
  <c r="B70" i="18"/>
  <c r="G67" i="18"/>
  <c r="G61" i="18"/>
  <c r="I64" i="18"/>
  <c r="G69" i="18"/>
  <c r="F65" i="18"/>
  <c r="K70" i="18"/>
  <c r="D61" i="18"/>
  <c r="L64" i="18"/>
  <c r="J69" i="18"/>
  <c r="H68" i="18"/>
  <c r="L61" i="18"/>
  <c r="D65" i="18"/>
  <c r="J68" i="18"/>
  <c r="L71" i="18"/>
  <c r="K66" i="18"/>
  <c r="K62" i="18"/>
  <c r="G71" i="18"/>
  <c r="I61" i="18"/>
  <c r="K64" i="18"/>
  <c r="C69" i="18"/>
  <c r="D66" i="18"/>
  <c r="K61" i="18"/>
  <c r="G63" i="18"/>
  <c r="G65" i="18"/>
  <c r="C67" i="18"/>
  <c r="E70" i="18"/>
  <c r="L62" i="18"/>
  <c r="E67" i="18"/>
  <c r="K68" i="18"/>
  <c r="G70" i="18"/>
  <c r="B61" i="18"/>
  <c r="J61" i="18"/>
  <c r="J65" i="18"/>
  <c r="F71" i="18"/>
  <c r="F69" i="18"/>
  <c r="H61" i="18"/>
  <c r="D63" i="18"/>
  <c r="J64" i="18"/>
  <c r="J66" i="18"/>
  <c r="F68" i="18"/>
  <c r="L69" i="18"/>
  <c r="H71" i="18"/>
  <c r="F64" i="18"/>
  <c r="L67" i="18"/>
  <c r="E61" i="18"/>
  <c r="E68" i="18"/>
  <c r="C64" i="18"/>
  <c r="D62" i="18"/>
  <c r="C63" i="18"/>
  <c r="I66" i="18"/>
  <c r="F61" i="18"/>
  <c r="E69" i="18"/>
  <c r="B65" i="18"/>
  <c r="H62" i="18"/>
  <c r="H66" i="18"/>
  <c r="L66" i="18"/>
  <c r="D70" i="18"/>
  <c r="H63" i="18"/>
  <c r="D67" i="18"/>
  <c r="F70" i="18"/>
  <c r="B62" i="18"/>
  <c r="K69" i="18"/>
  <c r="C66" i="18"/>
  <c r="B64" i="18"/>
  <c r="E63" i="18"/>
  <c r="G66" i="18"/>
  <c r="B63" i="18"/>
  <c r="C61" i="18"/>
  <c r="I62" i="18"/>
  <c r="E64" i="18"/>
  <c r="E66" i="18"/>
  <c r="I68" i="18"/>
  <c r="K71" i="18"/>
  <c r="L68" i="18"/>
  <c r="C68" i="18"/>
  <c r="I69" i="18"/>
  <c r="E71" i="18"/>
  <c r="B69" i="18"/>
  <c r="F63" i="18"/>
  <c r="D68" i="18"/>
  <c r="J67" i="18"/>
  <c r="L70" i="18"/>
  <c r="L63" i="18"/>
  <c r="H67" i="18"/>
  <c r="J70" i="18"/>
  <c r="L65" i="18"/>
  <c r="F62" i="18"/>
  <c r="H65" i="18"/>
  <c r="D69" i="18"/>
  <c r="J62" i="18"/>
  <c r="D71" i="18"/>
  <c r="C70" i="18"/>
  <c r="H64" i="18"/>
  <c r="K67" i="18"/>
  <c r="K63" i="18"/>
  <c r="B68" i="18"/>
  <c r="I65" i="18"/>
  <c r="J63" i="18"/>
  <c r="C62" i="18"/>
  <c r="I67" i="18"/>
  <c r="C71" i="18"/>
  <c r="K65" i="18"/>
  <c r="K72" i="18" s="1"/>
  <c r="E42" i="18" s="1"/>
  <c r="D42" i="18" s="1"/>
  <c r="F42" i="18" s="1"/>
  <c r="I42" i="18" s="1"/>
  <c r="E62" i="18"/>
  <c r="I70" i="18"/>
  <c r="G62" i="18"/>
  <c r="G64" i="18"/>
  <c r="B37" i="19" l="1"/>
  <c r="C37" i="19" s="1"/>
  <c r="C38" i="19" s="1"/>
  <c r="L72" i="18"/>
  <c r="E43" i="18" s="1"/>
  <c r="D43" i="18" s="1"/>
  <c r="H70" i="18"/>
  <c r="J61" i="19" l="1"/>
  <c r="J55" i="19"/>
  <c r="D59" i="19"/>
  <c r="C59" i="19"/>
  <c r="G58" i="19"/>
  <c r="D58" i="19"/>
  <c r="E55" i="19"/>
  <c r="J53" i="19"/>
  <c r="J57" i="19"/>
  <c r="C54" i="19"/>
  <c r="D53" i="19"/>
  <c r="F59" i="19"/>
  <c r="J58" i="19"/>
  <c r="E56" i="19"/>
  <c r="G54" i="19"/>
  <c r="G59" i="19"/>
  <c r="D55" i="19"/>
  <c r="H56" i="19"/>
  <c r="I53" i="19"/>
  <c r="H53" i="19"/>
  <c r="D54" i="19"/>
  <c r="J59" i="19"/>
  <c r="F60" i="19"/>
  <c r="F54" i="19"/>
  <c r="I59" i="19"/>
  <c r="G55" i="19"/>
  <c r="D61" i="19"/>
  <c r="H55" i="19"/>
  <c r="I58" i="19"/>
  <c r="I57" i="19"/>
  <c r="B57" i="19"/>
  <c r="D60" i="19"/>
  <c r="J54" i="19"/>
  <c r="E53" i="19"/>
  <c r="H61" i="19"/>
  <c r="F57" i="19"/>
  <c r="H57" i="19"/>
  <c r="F55" i="19"/>
  <c r="J56" i="19"/>
  <c r="B56" i="19"/>
  <c r="I60" i="19"/>
  <c r="B60" i="19"/>
  <c r="F58" i="19"/>
  <c r="G57" i="19"/>
  <c r="I55" i="19"/>
  <c r="B61" i="19"/>
  <c r="E54" i="19"/>
  <c r="G53" i="19"/>
  <c r="I54" i="19"/>
  <c r="J60" i="19"/>
  <c r="H54" i="19"/>
  <c r="C60" i="19"/>
  <c r="F56" i="19"/>
  <c r="F53" i="19"/>
  <c r="I56" i="19"/>
  <c r="B58" i="19"/>
  <c r="C57" i="19"/>
  <c r="H58" i="19"/>
  <c r="E61" i="19"/>
  <c r="C53" i="19"/>
  <c r="B53" i="19"/>
  <c r="G56" i="19"/>
  <c r="B59" i="19"/>
  <c r="D57" i="19"/>
  <c r="E60" i="19"/>
  <c r="C55" i="19"/>
  <c r="C61" i="19"/>
  <c r="H59" i="19"/>
  <c r="C58" i="19"/>
  <c r="J71" i="18"/>
  <c r="J72" i="18" s="1"/>
  <c r="E41" i="18" s="1"/>
  <c r="D41" i="18" s="1"/>
  <c r="F43" i="18"/>
  <c r="I43" i="18" s="1"/>
  <c r="I71" i="18"/>
  <c r="I72" i="18" s="1"/>
  <c r="E40" i="18" s="1"/>
  <c r="D40" i="18" s="1"/>
  <c r="F40" i="18" s="1"/>
  <c r="J62" i="19" l="1"/>
  <c r="E37" i="19" s="1"/>
  <c r="D37" i="19" s="1"/>
  <c r="I40" i="18"/>
  <c r="G68" i="18"/>
  <c r="G72" i="18" s="1"/>
  <c r="E38" i="18" s="1"/>
  <c r="D38" i="18" s="1"/>
  <c r="F38" i="18" s="1"/>
  <c r="H69" i="18"/>
  <c r="H72" i="18" s="1"/>
  <c r="E39" i="18" s="1"/>
  <c r="D39" i="18" s="1"/>
  <c r="F41" i="18"/>
  <c r="I41" i="18" s="1"/>
  <c r="I61" i="19" l="1"/>
  <c r="I62" i="19" s="1"/>
  <c r="E36" i="19" s="1"/>
  <c r="D36" i="19" s="1"/>
  <c r="F61" i="19"/>
  <c r="F62" i="19" s="1"/>
  <c r="E33" i="19" s="1"/>
  <c r="D33" i="19" s="1"/>
  <c r="G61" i="19"/>
  <c r="F37" i="19"/>
  <c r="I37" i="19" s="1"/>
  <c r="F66" i="18"/>
  <c r="B66" i="18"/>
  <c r="I38" i="18"/>
  <c r="B67" i="18"/>
  <c r="F67" i="18"/>
  <c r="F72" i="18" s="1"/>
  <c r="E37" i="18" s="1"/>
  <c r="D37" i="18" s="1"/>
  <c r="F39" i="18"/>
  <c r="I39" i="18" s="1"/>
  <c r="F33" i="19" l="1"/>
  <c r="I33" i="19" s="1"/>
  <c r="E57" i="19"/>
  <c r="F36" i="19"/>
  <c r="I36" i="19" s="1"/>
  <c r="G60" i="19"/>
  <c r="G62" i="19" s="1"/>
  <c r="E34" i="19" s="1"/>
  <c r="D34" i="19" s="1"/>
  <c r="H60" i="19"/>
  <c r="H62" i="19" s="1"/>
  <c r="E35" i="19" s="1"/>
  <c r="D35" i="19" s="1"/>
  <c r="B72" i="18"/>
  <c r="E33" i="18" s="1"/>
  <c r="D33" i="18" s="1"/>
  <c r="F33" i="18" s="1"/>
  <c r="I33" i="18" s="1"/>
  <c r="C65" i="18"/>
  <c r="C72" i="18" s="1"/>
  <c r="E34" i="18" s="1"/>
  <c r="D34" i="18" s="1"/>
  <c r="F34" i="18" s="1"/>
  <c r="I34" i="18" s="1"/>
  <c r="F37" i="18"/>
  <c r="I37" i="18" s="1"/>
  <c r="E65" i="18"/>
  <c r="E72" i="18" s="1"/>
  <c r="E36" i="18" s="1"/>
  <c r="D36" i="18" s="1"/>
  <c r="F36" i="18" s="1"/>
  <c r="F34" i="19" l="1"/>
  <c r="I34" i="19" s="1"/>
  <c r="E58" i="19"/>
  <c r="F35" i="19"/>
  <c r="I35" i="19" s="1"/>
  <c r="E59" i="19"/>
  <c r="E62" i="19" s="1"/>
  <c r="E32" i="19" s="1"/>
  <c r="D32" i="19" s="1"/>
  <c r="I36" i="18"/>
  <c r="D64" i="18"/>
  <c r="D72" i="18" s="1"/>
  <c r="E35" i="18" s="1"/>
  <c r="D35" i="18" s="1"/>
  <c r="F35" i="18" s="1"/>
  <c r="I35" i="18" s="1"/>
  <c r="D56" i="19" l="1"/>
  <c r="D62" i="19" s="1"/>
  <c r="E31" i="19" s="1"/>
  <c r="D31" i="19" s="1"/>
  <c r="F32" i="19"/>
  <c r="I32" i="19" s="1"/>
  <c r="C56" i="19"/>
  <c r="C62" i="19" s="1"/>
  <c r="E30" i="19" s="1"/>
  <c r="D30" i="19" s="1"/>
  <c r="I44" i="18"/>
  <c r="I45" i="18" s="1"/>
  <c r="H22" i="18" s="1"/>
  <c r="H24" i="18" s="1"/>
  <c r="H25" i="18" s="1"/>
  <c r="B54" i="19" l="1"/>
  <c r="F30" i="19"/>
  <c r="I30" i="19" s="1"/>
  <c r="F31" i="19"/>
  <c r="I31" i="19" s="1"/>
  <c r="B55" i="19"/>
  <c r="B62" i="19" s="1"/>
  <c r="E29" i="19" s="1"/>
  <c r="D29" i="19" s="1"/>
  <c r="F29" i="19" s="1"/>
  <c r="I29" i="19" s="1"/>
  <c r="I38" i="19" s="1"/>
  <c r="I39" i="19" s="1"/>
  <c r="H20" i="19" s="1"/>
  <c r="G16" i="5"/>
  <c r="G13" i="5"/>
  <c r="G8" i="5"/>
  <c r="G18" i="5"/>
  <c r="G15" i="5"/>
  <c r="G11" i="5"/>
  <c r="G10" i="5"/>
  <c r="G9" i="5"/>
  <c r="G10" i="4"/>
  <c r="G16" i="4"/>
  <c r="G13" i="4"/>
  <c r="G9" i="4"/>
  <c r="G18" i="4"/>
  <c r="G15" i="4"/>
  <c r="G11" i="4"/>
  <c r="G8" i="4"/>
  <c r="H22" i="19" l="1"/>
  <c r="H23" i="19" s="1"/>
  <c r="N20" i="19"/>
  <c r="N22" i="19" s="1"/>
  <c r="N23" i="19" s="1"/>
  <c r="G20" i="5"/>
  <c r="G20" i="4"/>
  <c r="A17" i="3" l="1"/>
  <c r="A18" i="3"/>
  <c r="B38" i="3"/>
  <c r="C38" i="3"/>
  <c r="D38" i="3"/>
  <c r="E38" i="3"/>
  <c r="F38" i="3"/>
  <c r="G38" i="3"/>
  <c r="H38" i="3" s="1"/>
  <c r="B39" i="3"/>
  <c r="C39" i="3"/>
  <c r="D39" i="3"/>
  <c r="F39" i="3"/>
  <c r="B40" i="3"/>
  <c r="D40" i="3" s="1"/>
  <c r="F40" i="3"/>
  <c r="B41" i="3"/>
  <c r="D41" i="3"/>
  <c r="F41" i="3"/>
  <c r="B42" i="3"/>
  <c r="D42" i="3" s="1"/>
  <c r="F42" i="3"/>
  <c r="B43" i="3"/>
  <c r="D43" i="3"/>
  <c r="F43" i="3"/>
  <c r="B44" i="3"/>
  <c r="D44" i="3" s="1"/>
  <c r="F44" i="3"/>
  <c r="B45" i="3"/>
  <c r="D45" i="3"/>
  <c r="F45" i="3"/>
  <c r="B46" i="3"/>
  <c r="D46" i="3" s="1"/>
  <c r="F46" i="3"/>
  <c r="B47" i="3"/>
  <c r="D47" i="3"/>
  <c r="F47" i="3"/>
  <c r="B48" i="3"/>
  <c r="D48" i="3" s="1"/>
  <c r="F48" i="3"/>
  <c r="B49" i="3"/>
  <c r="D49" i="3"/>
  <c r="F49" i="3"/>
  <c r="B50" i="3"/>
  <c r="D50" i="3" s="1"/>
  <c r="F50" i="3"/>
  <c r="B51" i="3"/>
  <c r="D51" i="3"/>
  <c r="F51" i="3"/>
  <c r="B52" i="3"/>
  <c r="D52" i="3" s="1"/>
  <c r="F52" i="3"/>
  <c r="B53" i="3"/>
  <c r="D53" i="3"/>
  <c r="F53" i="3"/>
  <c r="B54" i="3"/>
  <c r="D54" i="3" s="1"/>
  <c r="F54" i="3"/>
  <c r="B55" i="3"/>
  <c r="D55" i="3"/>
  <c r="F55" i="3"/>
  <c r="B56" i="3"/>
  <c r="D56" i="3" s="1"/>
  <c r="F56" i="3"/>
  <c r="B57" i="3"/>
  <c r="C57" i="3"/>
  <c r="D57" i="3"/>
  <c r="E57" i="3"/>
  <c r="F57" i="3"/>
  <c r="G57" i="3"/>
  <c r="H57" i="3" s="1"/>
  <c r="B58" i="3"/>
  <c r="D58" i="3" s="1"/>
  <c r="F58" i="3"/>
  <c r="B59" i="3"/>
  <c r="C59" i="3"/>
  <c r="D59" i="3"/>
  <c r="E59" i="3"/>
  <c r="F59" i="3"/>
  <c r="G59" i="3"/>
  <c r="H59" i="3" s="1"/>
  <c r="A11" i="3"/>
  <c r="G4" i="3"/>
  <c r="E5" i="3"/>
  <c r="G5" i="3" s="1"/>
  <c r="C20" i="2"/>
  <c r="A11" i="2"/>
  <c r="E9" i="2"/>
  <c r="C19" i="2" s="1"/>
  <c r="E8" i="2"/>
  <c r="C18" i="2" s="1"/>
  <c r="E7" i="2"/>
  <c r="E6" i="2"/>
  <c r="C17" i="2" s="1"/>
  <c r="E5" i="2"/>
  <c r="E10" i="2" s="1"/>
  <c r="C21" i="2" s="1"/>
  <c r="I59" i="3" l="1"/>
  <c r="J59" i="3" s="1"/>
  <c r="I57" i="3"/>
  <c r="J57" i="3" s="1"/>
  <c r="E39" i="3"/>
  <c r="G39" i="3" s="1"/>
  <c r="C41" i="3"/>
  <c r="E41" i="3" s="1"/>
  <c r="G41" i="3" s="1"/>
  <c r="C43" i="3"/>
  <c r="E43" i="3" s="1"/>
  <c r="G43" i="3" s="1"/>
  <c r="C45" i="3"/>
  <c r="E45" i="3" s="1"/>
  <c r="G45" i="3" s="1"/>
  <c r="C47" i="3"/>
  <c r="E47" i="3" s="1"/>
  <c r="G47" i="3" s="1"/>
  <c r="C49" i="3"/>
  <c r="E49" i="3" s="1"/>
  <c r="G49" i="3" s="1"/>
  <c r="C51" i="3"/>
  <c r="E51" i="3" s="1"/>
  <c r="G51" i="3" s="1"/>
  <c r="C53" i="3"/>
  <c r="E53" i="3" s="1"/>
  <c r="G53" i="3" s="1"/>
  <c r="C55" i="3"/>
  <c r="E55" i="3" s="1"/>
  <c r="G55" i="3" s="1"/>
  <c r="A19" i="3"/>
  <c r="C58" i="3"/>
  <c r="E58" i="3" s="1"/>
  <c r="G58" i="3" s="1"/>
  <c r="C56" i="3"/>
  <c r="E56" i="3" s="1"/>
  <c r="G56" i="3" s="1"/>
  <c r="C54" i="3"/>
  <c r="E54" i="3" s="1"/>
  <c r="G54" i="3" s="1"/>
  <c r="C52" i="3"/>
  <c r="E52" i="3" s="1"/>
  <c r="G52" i="3" s="1"/>
  <c r="C50" i="3"/>
  <c r="E50" i="3" s="1"/>
  <c r="G50" i="3" s="1"/>
  <c r="C48" i="3"/>
  <c r="E48" i="3" s="1"/>
  <c r="G48" i="3" s="1"/>
  <c r="C46" i="3"/>
  <c r="E46" i="3" s="1"/>
  <c r="G46" i="3" s="1"/>
  <c r="C44" i="3"/>
  <c r="E44" i="3" s="1"/>
  <c r="G44" i="3" s="1"/>
  <c r="C42" i="3"/>
  <c r="E42" i="3" s="1"/>
  <c r="G42" i="3" s="1"/>
  <c r="C40" i="3"/>
  <c r="E40" i="3" s="1"/>
  <c r="I38" i="3"/>
  <c r="J38" i="3" s="1"/>
  <c r="I39" i="3" l="1"/>
  <c r="J39" i="3" s="1"/>
  <c r="H39" i="3"/>
  <c r="B16" i="3"/>
  <c r="C16" i="3" s="1"/>
  <c r="G40" i="3"/>
  <c r="E10" i="3"/>
  <c r="H44" i="3"/>
  <c r="I44" i="3"/>
  <c r="J44" i="3" s="1"/>
  <c r="H48" i="3"/>
  <c r="I48" i="3"/>
  <c r="J48" i="3" s="1"/>
  <c r="H52" i="3"/>
  <c r="I52" i="3"/>
  <c r="J52" i="3" s="1"/>
  <c r="H56" i="3"/>
  <c r="I56" i="3"/>
  <c r="J56" i="3" s="1"/>
  <c r="A20" i="3"/>
  <c r="B19" i="3"/>
  <c r="I55" i="3"/>
  <c r="J55" i="3" s="1"/>
  <c r="H55" i="3"/>
  <c r="I51" i="3"/>
  <c r="J51" i="3" s="1"/>
  <c r="H51" i="3"/>
  <c r="I47" i="3"/>
  <c r="J47" i="3" s="1"/>
  <c r="H47" i="3"/>
  <c r="I43" i="3"/>
  <c r="J43" i="3" s="1"/>
  <c r="H43" i="3"/>
  <c r="H42" i="3"/>
  <c r="I42" i="3"/>
  <c r="J42" i="3" s="1"/>
  <c r="H46" i="3"/>
  <c r="I46" i="3"/>
  <c r="J46" i="3" s="1"/>
  <c r="H50" i="3"/>
  <c r="I50" i="3"/>
  <c r="J50" i="3" s="1"/>
  <c r="H54" i="3"/>
  <c r="I54" i="3"/>
  <c r="J54" i="3" s="1"/>
  <c r="I58" i="3"/>
  <c r="J58" i="3" s="1"/>
  <c r="H58" i="3"/>
  <c r="I53" i="3"/>
  <c r="J53" i="3" s="1"/>
  <c r="H53" i="3"/>
  <c r="I49" i="3"/>
  <c r="J49" i="3" s="1"/>
  <c r="H49" i="3"/>
  <c r="I45" i="3"/>
  <c r="J45" i="3" s="1"/>
  <c r="H45" i="3"/>
  <c r="I41" i="3"/>
  <c r="J41" i="3" s="1"/>
  <c r="H41" i="3"/>
  <c r="B20" i="3" l="1"/>
  <c r="A21" i="3"/>
  <c r="H40" i="3"/>
  <c r="E6" i="3"/>
  <c r="I40" i="3"/>
  <c r="J40" i="3" s="1"/>
  <c r="G10" i="3"/>
  <c r="B17" i="3"/>
  <c r="B18" i="3"/>
  <c r="C17" i="3"/>
  <c r="G6" i="3" l="1"/>
  <c r="E11" i="3"/>
  <c r="E7" i="3"/>
  <c r="E8" i="3"/>
  <c r="B21" i="3"/>
  <c r="A22" i="3"/>
  <c r="C18" i="3"/>
  <c r="C19" i="3" s="1"/>
  <c r="C20" i="3" s="1"/>
  <c r="C21" i="3" s="1"/>
  <c r="L16" i="3" l="1"/>
  <c r="K15" i="3"/>
  <c r="G11" i="3"/>
  <c r="H17" i="3"/>
  <c r="B22" i="3"/>
  <c r="C22" i="3" s="1"/>
  <c r="A23" i="3"/>
  <c r="G8" i="3"/>
  <c r="E9" i="3"/>
  <c r="G9" i="3" s="1"/>
  <c r="G7" i="3"/>
  <c r="E12" i="3"/>
  <c r="G12" i="3" l="1"/>
  <c r="G18" i="3"/>
  <c r="A24" i="3"/>
  <c r="B23" i="3"/>
  <c r="C23" i="3" s="1"/>
  <c r="B24" i="3" l="1"/>
  <c r="C24" i="3" s="1"/>
  <c r="A25" i="3"/>
  <c r="B25" i="3" l="1"/>
  <c r="C25" i="3" s="1"/>
  <c r="A26" i="3"/>
  <c r="B26" i="3" l="1"/>
  <c r="C26" i="3" s="1"/>
  <c r="A27" i="3"/>
  <c r="A28" i="3" l="1"/>
  <c r="B27" i="3"/>
  <c r="C27" i="3" s="1"/>
  <c r="B28" i="3" l="1"/>
  <c r="C28" i="3" s="1"/>
  <c r="A29" i="3"/>
  <c r="B29" i="3" l="1"/>
  <c r="C29" i="3" s="1"/>
  <c r="A30" i="3"/>
  <c r="B30" i="3" l="1"/>
  <c r="C30" i="3" s="1"/>
  <c r="A31" i="3"/>
  <c r="A32" i="3" l="1"/>
  <c r="B31" i="3"/>
  <c r="C31" i="3" s="1"/>
  <c r="B32" i="3" l="1"/>
  <c r="C32" i="3" s="1"/>
  <c r="A33" i="3"/>
  <c r="B33" i="3" l="1"/>
  <c r="C33" i="3" s="1"/>
  <c r="A34" i="3"/>
  <c r="B34" i="3" l="1"/>
  <c r="C34" i="3" s="1"/>
  <c r="A35" i="3"/>
  <c r="A36" i="3" l="1"/>
  <c r="B36" i="3" s="1"/>
  <c r="B35" i="3"/>
  <c r="C35" i="3" s="1"/>
  <c r="C36" i="3" s="1"/>
</calcChain>
</file>

<file path=xl/comments1.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6" authorId="0">
      <text>
        <r>
          <rPr>
            <sz val="9"/>
            <color indexed="81"/>
            <rFont val="Tahoma"/>
            <family val="2"/>
          </rPr>
          <t>Network Analysis: Submodel =  0; Problem size @  11 by 3</t>
        </r>
      </text>
    </comment>
  </commentList>
</comments>
</file>

<file path=xl/comments2.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6" authorId="0">
      <text>
        <r>
          <rPr>
            <sz val="9"/>
            <color indexed="81"/>
            <rFont val="Tahoma"/>
            <family val="2"/>
          </rPr>
          <t>Network Analysis: Submodel =  0; Problem size @  11 by 3</t>
        </r>
      </text>
    </comment>
  </commentList>
</comments>
</file>

<file path=xl/comments3.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6" authorId="0">
      <text>
        <r>
          <rPr>
            <sz val="9"/>
            <color indexed="81"/>
            <rFont val="Tahoma"/>
            <family val="2"/>
          </rPr>
          <t>Network Analysis: Submodel =  0; Problem size @  10 by 0</t>
        </r>
      </text>
    </comment>
  </commentList>
</comments>
</file>

<file path=xl/comments4.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6" authorId="0">
      <text>
        <r>
          <rPr>
            <sz val="9"/>
            <color indexed="81"/>
            <rFont val="Tahoma"/>
            <family val="2"/>
          </rPr>
          <t>Network Analysis: Submodel =  0; Problem size @  10 by 0</t>
        </r>
      </text>
    </comment>
  </commentList>
</comments>
</file>

<file path=xl/comments5.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6" authorId="0">
      <text>
        <r>
          <rPr>
            <sz val="9"/>
            <color indexed="81"/>
            <rFont val="Tahoma"/>
            <family val="2"/>
          </rPr>
          <t>Network Analysis: Submodel =  0; Problem size @  10 by 0</t>
        </r>
      </text>
    </comment>
  </commentList>
</comments>
</file>

<file path=xl/comments6.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6" authorId="0">
      <text>
        <r>
          <rPr>
            <sz val="9"/>
            <color indexed="81"/>
            <rFont val="Tahoma"/>
            <family val="2"/>
          </rPr>
          <t>Network Analysis: Submodel =  0; Problem size @  10 by 0</t>
        </r>
      </text>
    </comment>
  </commentList>
</comments>
</file>

<file path=xl/comments7.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4" authorId="0">
      <text>
        <r>
          <rPr>
            <sz val="9"/>
            <color indexed="81"/>
            <rFont val="Tahoma"/>
            <family val="2"/>
          </rPr>
          <t>Project Management: Submodel =  2; Problem size @  11 by 2</t>
        </r>
      </text>
    </comment>
    <comment ref="A17" authorId="0">
      <text>
        <r>
          <rPr>
            <sz val="9"/>
            <color indexed="81"/>
            <rFont val="Tahoma"/>
            <family val="2"/>
          </rPr>
          <t>Project Management: Submodel =  2; Problem size @  11 by 2</t>
        </r>
      </text>
    </comment>
  </commentList>
</comments>
</file>

<file path=xl/comments8.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4" authorId="0">
      <text>
        <r>
          <rPr>
            <sz val="9"/>
            <color indexed="81"/>
            <rFont val="Tahoma"/>
            <family val="2"/>
          </rPr>
          <t>Project Management: Submodel =  2; Problem size @  9 by 3</t>
        </r>
      </text>
    </comment>
    <comment ref="A15" authorId="0">
      <text>
        <r>
          <rPr>
            <sz val="9"/>
            <color indexed="81"/>
            <rFont val="Tahoma"/>
            <family val="2"/>
          </rPr>
          <t>Project Management: Submodel =  2; Problem size @  9 by 3</t>
        </r>
      </text>
    </comment>
  </commentList>
</comments>
</file>

<file path=xl/comments9.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5" authorId="0">
      <text>
        <r>
          <rPr>
            <sz val="9"/>
            <color indexed="81"/>
            <rFont val="Tahoma"/>
            <family val="2"/>
          </rPr>
          <t>Project Management: Submodel =  3; Problem size @  8 by 0</t>
        </r>
      </text>
    </comment>
  </commentList>
</comments>
</file>

<file path=xl/comments10.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4" authorId="0">
      <text>
        <r>
          <rPr>
            <sz val="9"/>
            <color indexed="81"/>
            <rFont val="Tahoma"/>
            <family val="2"/>
          </rPr>
          <t>Waiting Lines: Submodel =  0; Problem size @  2 by 2</t>
        </r>
      </text>
    </comment>
  </commentList>
</comments>
</file>

<file path=xl/comments11.xml><?xml version="1.0" encoding="utf-8"?>
<comments xmlns="http://schemas.openxmlformats.org/spreadsheetml/2006/main">
  <authors>
    <author>Admin</author>
  </authors>
  <commentList>
    <comment ref="A1" authorId="0">
      <text>
        <r>
          <rPr>
            <sz val="9"/>
            <color indexed="81"/>
            <rFont val="Tahoma"/>
            <family val="2"/>
          </rPr>
          <t>Created by Excel OM/QM version 5.2.116</t>
        </r>
      </text>
    </comment>
    <comment ref="A4" authorId="0">
      <text>
        <r>
          <rPr>
            <sz val="9"/>
            <color indexed="81"/>
            <rFont val="Tahoma"/>
            <family val="2"/>
          </rPr>
          <t>Waiting Lines: Submodel =  0; Problem size @  2 by 2</t>
        </r>
      </text>
    </comment>
  </commentList>
</comments>
</file>

<file path=xl/sharedStrings.xml><?xml version="1.0" encoding="utf-8"?>
<sst xmlns="http://schemas.openxmlformats.org/spreadsheetml/2006/main" count="481" uniqueCount="186">
  <si>
    <t>Waiting Lines</t>
  </si>
  <si>
    <t>Single Server Model(M/M/1)</t>
  </si>
  <si>
    <r>
      <t>Arrival rate (</t>
    </r>
    <r>
      <rPr>
        <sz val="11"/>
        <color theme="1"/>
        <rFont val="Symbol"/>
        <family val="1"/>
        <charset val="2"/>
      </rPr>
      <t>l</t>
    </r>
    <r>
      <rPr>
        <sz val="11"/>
        <color theme="1"/>
        <rFont val="Calibri"/>
        <family val="2"/>
        <scheme val="minor"/>
      </rPr>
      <t>)</t>
    </r>
  </si>
  <si>
    <r>
      <t>Service rate (</t>
    </r>
    <r>
      <rPr>
        <sz val="11"/>
        <color theme="1"/>
        <rFont val="Symbol"/>
        <family val="1"/>
        <charset val="2"/>
      </rPr>
      <t>m</t>
    </r>
    <r>
      <rPr>
        <sz val="11"/>
        <color theme="1"/>
        <rFont val="Calibri"/>
        <family val="2"/>
        <scheme val="minor"/>
      </rPr>
      <t>)</t>
    </r>
  </si>
  <si>
    <t>Data</t>
  </si>
  <si>
    <t>Results</t>
  </si>
  <si>
    <t>Number of servers</t>
  </si>
  <si>
    <t>Average number of customers in the system(L)</t>
  </si>
  <si>
    <t>Average time in the system(W)</t>
  </si>
  <si>
    <r>
      <t>Average server utilization(</t>
    </r>
    <r>
      <rPr>
        <b/>
        <sz val="11"/>
        <color rgb="FF3F3F3F"/>
        <rFont val="Symbol"/>
        <family val="1"/>
        <charset val="2"/>
      </rPr>
      <t>r</t>
    </r>
    <r>
      <rPr>
        <b/>
        <sz val="11"/>
        <color rgb="FF3F3F3F"/>
        <rFont val="Calibri"/>
        <family val="2"/>
        <scheme val="minor"/>
      </rPr>
      <t>)</t>
    </r>
  </si>
  <si>
    <r>
      <t>Average number of customers in the queue(L</t>
    </r>
    <r>
      <rPr>
        <b/>
        <vertAlign val="subscript"/>
        <sz val="11"/>
        <color rgb="FF3F3F3F"/>
        <rFont val="Calibri"/>
        <family val="2"/>
        <scheme val="minor"/>
      </rPr>
      <t>q</t>
    </r>
    <r>
      <rPr>
        <b/>
        <sz val="11"/>
        <color rgb="FF3F3F3F"/>
        <rFont val="Calibri"/>
        <family val="2"/>
        <scheme val="minor"/>
      </rPr>
      <t>)</t>
    </r>
  </si>
  <si>
    <r>
      <t>Average waiting time in the queue(W</t>
    </r>
    <r>
      <rPr>
        <b/>
        <vertAlign val="subscript"/>
        <sz val="11"/>
        <color rgb="FF3F3F3F"/>
        <rFont val="Calibri"/>
        <family val="2"/>
        <scheme val="minor"/>
      </rPr>
      <t>q</t>
    </r>
    <r>
      <rPr>
        <b/>
        <sz val="11"/>
        <color rgb="FF3F3F3F"/>
        <rFont val="Calibri"/>
        <family val="2"/>
        <scheme val="minor"/>
      </rPr>
      <t>)</t>
    </r>
  </si>
  <si>
    <r>
      <t>Probability (% of time) system is empty (P</t>
    </r>
    <r>
      <rPr>
        <b/>
        <vertAlign val="subscript"/>
        <sz val="11"/>
        <color rgb="FF3F3F3F"/>
        <rFont val="Calibri"/>
        <family val="2"/>
        <scheme val="minor"/>
      </rPr>
      <t>0</t>
    </r>
    <r>
      <rPr>
        <b/>
        <sz val="11"/>
        <color rgb="FF3F3F3F"/>
        <rFont val="Calibri"/>
        <family val="2"/>
        <scheme val="minor"/>
      </rPr>
      <t>)</t>
    </r>
  </si>
  <si>
    <t>Number</t>
  </si>
  <si>
    <t>Probability</t>
  </si>
  <si>
    <t>Cumulative Probability</t>
  </si>
  <si>
    <t>Probabilities</t>
  </si>
  <si>
    <t>the server model is M/M/1 since there is 1 server. The models arrial rate is 10 and service rate is 12</t>
  </si>
  <si>
    <t>a. average number of cars in  line</t>
  </si>
  <si>
    <t>b. average time a car waits before it is washed</t>
  </si>
  <si>
    <t>c. average time a car spends in the service system</t>
  </si>
  <si>
    <t>d. utilization rate of the car wash</t>
  </si>
  <si>
    <t>e. probability there is no car in the system.</t>
  </si>
  <si>
    <t>Multiple server model (M/M/s)</t>
  </si>
  <si>
    <t>Number of servers(s)</t>
  </si>
  <si>
    <t>Server cost $/time)</t>
  </si>
  <si>
    <t>Waiting cost ($/time)</t>
  </si>
  <si>
    <t>term2</t>
  </si>
  <si>
    <t>P0(s)</t>
  </si>
  <si>
    <t>Rho(s)</t>
  </si>
  <si>
    <t>Lq(s)</t>
  </si>
  <si>
    <t>L(s)</t>
  </si>
  <si>
    <t>Wq(s)</t>
  </si>
  <si>
    <t>W(S)</t>
  </si>
  <si>
    <t>Cost - based on waiting</t>
  </si>
  <si>
    <t>Cost - based on system</t>
  </si>
  <si>
    <t>Sensitivity Table</t>
  </si>
  <si>
    <t>a. Average time in the line if clerks 2,3 and 4 are used</t>
  </si>
  <si>
    <t>b. total time spent waiting in the line each day if 2, 3 and 4 clerks are used</t>
  </si>
  <si>
    <t>c. total daily waiting costs</t>
  </si>
  <si>
    <t>dail service cost</t>
  </si>
  <si>
    <t>the minimumcost is 923.6842</t>
  </si>
  <si>
    <t>Network Analysis</t>
  </si>
  <si>
    <t>Minimum Spanning Tree</t>
  </si>
  <si>
    <t>Branch name</t>
  </si>
  <si>
    <t>Start node</t>
  </si>
  <si>
    <t>End node</t>
  </si>
  <si>
    <t>Cost</t>
  </si>
  <si>
    <t>Include</t>
  </si>
  <si>
    <t>Sum</t>
  </si>
  <si>
    <t>Branch 1</t>
  </si>
  <si>
    <t>Branch 2</t>
  </si>
  <si>
    <t>Branch 3</t>
  </si>
  <si>
    <t>Branch 4</t>
  </si>
  <si>
    <t>Branch 5</t>
  </si>
  <si>
    <t>Branch 6</t>
  </si>
  <si>
    <t>Branch 7</t>
  </si>
  <si>
    <t>Branch 8</t>
  </si>
  <si>
    <t>Branch 9</t>
  </si>
  <si>
    <t>Branch 10</t>
  </si>
  <si>
    <t>Branch 11</t>
  </si>
  <si>
    <t>Iterations</t>
  </si>
  <si>
    <t>a. the least expensive way to run cable to the houses?</t>
  </si>
  <si>
    <t>the alteration of the costs has an effect of reducing the initial final cost from 34 to 20.</t>
  </si>
  <si>
    <t>Capacity</t>
  </si>
  <si>
    <t>Shortest Path</t>
  </si>
  <si>
    <t>Distance</t>
  </si>
  <si>
    <t>Origin</t>
  </si>
  <si>
    <t>Destination</t>
  </si>
  <si>
    <t>Branch</t>
  </si>
  <si>
    <t>Cumulative distance</t>
  </si>
  <si>
    <t>Distance Table</t>
  </si>
  <si>
    <t>Node 1</t>
  </si>
  <si>
    <t>Node 2</t>
  </si>
  <si>
    <t>Node 3</t>
  </si>
  <si>
    <t>Node 4</t>
  </si>
  <si>
    <t>Node 5</t>
  </si>
  <si>
    <t>Node 6</t>
  </si>
  <si>
    <t>Node 7</t>
  </si>
  <si>
    <t>Node 8</t>
  </si>
  <si>
    <t>Undirected network</t>
  </si>
  <si>
    <t>the shortest distance is 12 which is of branch 9 from start node 1 to 3 to 5 to 7 to 6 and  8.</t>
  </si>
  <si>
    <t>The shortest route now has a distance of 10 and it passes through nodes 1 to 3 to 5 to 7 to 6 and 8. the new distances have shortened the distance from 1 to 8 by 2</t>
  </si>
  <si>
    <t>Maximal Flow</t>
  </si>
  <si>
    <t>Reverse Capacity</t>
  </si>
  <si>
    <t>Source</t>
  </si>
  <si>
    <t>Sink</t>
  </si>
  <si>
    <t>Flow</t>
  </si>
  <si>
    <t xml:space="preserve"> 1-&gt; 2-&gt; 4-&gt; 6-&gt; 8</t>
  </si>
  <si>
    <t xml:space="preserve"> 1-&gt; 3-&gt; 5-&gt; 7-&gt; 8</t>
  </si>
  <si>
    <t>Maximum network flow</t>
  </si>
  <si>
    <t>a. the maximum flow is 15</t>
  </si>
  <si>
    <t>b. it does not have any effect since the maximum network flow is same.</t>
  </si>
  <si>
    <t>Project Management</t>
  </si>
  <si>
    <t>Immediate Predecessors (1 per column)</t>
  </si>
  <si>
    <t>A</t>
  </si>
  <si>
    <t>B</t>
  </si>
  <si>
    <t>C</t>
  </si>
  <si>
    <t>D</t>
  </si>
  <si>
    <t>E</t>
  </si>
  <si>
    <t>F</t>
  </si>
  <si>
    <t>G</t>
  </si>
  <si>
    <t>H</t>
  </si>
  <si>
    <t>I</t>
  </si>
  <si>
    <t>J</t>
  </si>
  <si>
    <t>K</t>
  </si>
  <si>
    <t>Activity</t>
  </si>
  <si>
    <t>Time</t>
  </si>
  <si>
    <t>Pred 1</t>
  </si>
  <si>
    <t>Pred 2</t>
  </si>
  <si>
    <t>Early Start</t>
  </si>
  <si>
    <t>Early Finish</t>
  </si>
  <si>
    <t>Late  Start</t>
  </si>
  <si>
    <t>Late Finish</t>
  </si>
  <si>
    <t>Slack</t>
  </si>
  <si>
    <t>Project</t>
  </si>
  <si>
    <t>Early start computations</t>
  </si>
  <si>
    <t>Late finish computations</t>
  </si>
  <si>
    <t>Optimistic</t>
  </si>
  <si>
    <t>Likely</t>
  </si>
  <si>
    <t>Mean</t>
  </si>
  <si>
    <t>Std dev</t>
  </si>
  <si>
    <t>Variance</t>
  </si>
  <si>
    <t>Critical Variance</t>
  </si>
  <si>
    <t>Std.dev</t>
  </si>
  <si>
    <t>Precedences; 3 time estimates</t>
  </si>
  <si>
    <t>Precedences</t>
  </si>
  <si>
    <t>Pessimistic</t>
  </si>
  <si>
    <t>a. expected durations and variance</t>
  </si>
  <si>
    <t>probability of finishing before 38 days</t>
  </si>
  <si>
    <t>mean=</t>
  </si>
  <si>
    <t>std dev=</t>
  </si>
  <si>
    <t>no of days=</t>
  </si>
  <si>
    <t>z-score =</t>
  </si>
  <si>
    <t>probability  =</t>
  </si>
  <si>
    <t>Pred 3</t>
  </si>
  <si>
    <t>Project will take 34 or less</t>
  </si>
  <si>
    <t>d.</t>
  </si>
  <si>
    <t>mean</t>
  </si>
  <si>
    <t>std.dev</t>
  </si>
  <si>
    <t xml:space="preserve">time </t>
  </si>
  <si>
    <t>z-score</t>
  </si>
  <si>
    <t>probability</t>
  </si>
  <si>
    <t>chances project will take 34 or less days is 0.1376</t>
  </si>
  <si>
    <t>e. will take longer than 29</t>
  </si>
  <si>
    <t>chances project will take longer than 29 days is 0.9978</t>
  </si>
  <si>
    <t>Crashing</t>
  </si>
  <si>
    <t>Normal time</t>
  </si>
  <si>
    <t>Minimum crash cost to meet project goal</t>
  </si>
  <si>
    <t>Project goal</t>
  </si>
  <si>
    <t>Minimum time</t>
  </si>
  <si>
    <t>Project time</t>
  </si>
  <si>
    <t>Intermediate Computations</t>
  </si>
  <si>
    <t>Normal Time (weeks)</t>
  </si>
  <si>
    <t>Crash Time (weeks)</t>
  </si>
  <si>
    <t>Normal Cost</t>
  </si>
  <si>
    <t>Total Cost with Crashing</t>
  </si>
  <si>
    <t>Pred 4</t>
  </si>
  <si>
    <t>Crash days</t>
  </si>
  <si>
    <t>Crash cost/day</t>
  </si>
  <si>
    <t>Crash limit</t>
  </si>
  <si>
    <t>Precedence computations</t>
  </si>
  <si>
    <t>1 if col precedes row</t>
  </si>
  <si>
    <t>TimeFinish (variable)</t>
  </si>
  <si>
    <t>crash days (variable)</t>
  </si>
  <si>
    <t>limit</t>
  </si>
  <si>
    <t>Finish Times for Tasks must be greater than finish for all predecessors</t>
  </si>
  <si>
    <t>Finish A + T(row)-crash row</t>
  </si>
  <si>
    <t>Finish B + T(row)-crash row</t>
  </si>
  <si>
    <t>Finish C + T(row)-crash row</t>
  </si>
  <si>
    <t>Finish D + T(row)-crash row</t>
  </si>
  <si>
    <t>Finish E + T(row)-crash row</t>
  </si>
  <si>
    <t>Finish F + T(row)-crash row</t>
  </si>
  <si>
    <t>Finish G + T(row)-crash row</t>
  </si>
  <si>
    <t>Precedence 1</t>
  </si>
  <si>
    <t>Precedence 2</t>
  </si>
  <si>
    <t>Precedence 3</t>
  </si>
  <si>
    <t>Precedence 4</t>
  </si>
  <si>
    <t>Task</t>
  </si>
  <si>
    <t xml:space="preserve">a. </t>
  </si>
  <si>
    <t>the activities to be crushed are D and E at a total cost of 700</t>
  </si>
  <si>
    <t xml:space="preserve">b. </t>
  </si>
  <si>
    <t>the paths remaining after crush are: -</t>
  </si>
  <si>
    <t>A-&gt; B-&gt; C-&gt;G-&gt;H</t>
  </si>
  <si>
    <t>A-&gt; C-&gt; F-&gt;G-&gt;H</t>
  </si>
  <si>
    <t>A-&gt; B-&gt; G-&gt;C-&gt;H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</si>
</sst>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44" formatCode="_(&quot;$&quot;* #,##0.00_);_(&quot;$&quot;* \(#,##0.00\);_(&quot;$&quot;* &quot;-&quot;??_);_(@_)"/>
    <numFmt numFmtId="164" formatCode="0.000000"/>
    <numFmt numFmtId="165" formatCode="_(&quot;$&quot;* #,##0_);_(&quot;$&quot;* \(#,##0\);_(&quot;$&quot;* &quot;-&quot;??_);_(@_)"/>
  </numFmts>
  <fonts count="30" x14ac:knownFonts="1">
    <font>
      <sz val="11"/>
      <color theme="1"/>
      <name val="Calibri"/>
      <family val="2"/>
      <scheme val="minor"/>
    </font>
    <font>
      <b/>
      <sz val="11"/>
      <color rgb="FF3F3F3F"/>
      <name val="Calibri"/>
      <family val="2"/>
      <scheme val="minor"/>
    </font>
    <font>
      <sz val="11"/>
      <color rgb="FFFF0000"/>
      <name val="Calibri"/>
      <family val="2"/>
      <scheme val="minor"/>
    </font>
    <font>
      <b/>
      <sz val="11"/>
      <color theme="1"/>
      <name val="Calibri"/>
      <family val="2"/>
      <scheme val="minor"/>
    </font>
    <font>
      <b/>
      <sz val="15"/>
      <color rgb="FF1F497D"/>
      <name val="Calibri"/>
      <family val="2"/>
      <scheme val="minor"/>
    </font>
    <font>
      <sz val="11"/>
      <color rgb="FF0000FF"/>
      <name val="Calibri"/>
      <family val="2"/>
      <scheme val="minor"/>
    </font>
    <font>
      <b/>
      <sz val="13"/>
      <color rgb="FF1F497D"/>
      <name val="Calibri"/>
      <family val="2"/>
      <scheme val="minor"/>
    </font>
    <font>
      <sz val="11"/>
      <color theme="1"/>
      <name val="Symbol"/>
      <family val="1"/>
      <charset val="2"/>
    </font>
    <font>
      <sz val="9"/>
      <color indexed="81"/>
      <name val="Tahoma"/>
      <family val="2"/>
    </font>
    <font>
      <b/>
      <sz val="11"/>
      <color rgb="FFFF6600"/>
      <name val="Calibri"/>
      <family val="2"/>
      <scheme val="minor"/>
    </font>
    <font>
      <b/>
      <sz val="11"/>
      <color rgb="FF3F3F3F"/>
      <name val="Symbol"/>
      <family val="1"/>
      <charset val="2"/>
    </font>
    <font>
      <b/>
      <vertAlign val="subscript"/>
      <sz val="11"/>
      <color rgb="FF3F3F3F"/>
      <name val="Calibri"/>
      <family val="2"/>
      <scheme val="minor"/>
    </font>
    <font>
      <sz val="11"/>
      <color rgb="FF000000"/>
      <name val="Calibri"/>
      <family val="2"/>
    </font>
    <font>
      <sz val="11"/>
      <color rgb="FF3F3F3F"/>
      <name val="Calibri"/>
      <family val="2"/>
      <scheme val="minor"/>
    </font>
    <font>
      <b/>
      <sz val="11"/>
      <color rgb="FFFF0000"/>
      <name val="Calibri"/>
      <family val="2"/>
      <scheme val="minor"/>
    </font>
    <font>
      <b/>
      <sz val="11"/>
      <color rgb="FF000000"/>
      <name val="Calibri"/>
      <family val="2"/>
      <scheme val="minor"/>
    </font>
    <font>
      <sz val="10"/>
      <name val="Arial"/>
      <family val="2"/>
    </font>
    <font>
      <sz val="11"/>
      <color theme="1"/>
      <name val="Calibri"/>
      <family val="2"/>
      <scheme val="minor"/>
    </font>
    <font>
      <b/>
      <sz val="11"/>
      <color indexed="62"/>
      <name val="Calibri"/>
      <family val="2"/>
    </font>
    <font>
      <sz val="11"/>
      <name val="Calibri"/>
      <family val="2"/>
    </font>
    <font>
      <b/>
      <sz val="11"/>
      <name val="Calibri"/>
      <family val="2"/>
    </font>
    <font>
      <b/>
      <sz val="11"/>
      <color indexed="10"/>
      <name val="Calibri"/>
      <family val="2"/>
    </font>
    <font>
      <b/>
      <sz val="11"/>
      <color indexed="21"/>
      <name val="Calibri"/>
      <family val="2"/>
    </font>
    <font>
      <b/>
      <sz val="11"/>
      <color indexed="20"/>
      <name val="Calibri"/>
      <family val="2"/>
    </font>
    <font>
      <b/>
      <sz val="11"/>
      <color indexed="8"/>
      <name val="Calibri"/>
      <family val="2"/>
    </font>
    <font>
      <b/>
      <sz val="11"/>
      <color indexed="16"/>
      <name val="Calibri"/>
      <family val="2"/>
    </font>
    <font>
      <sz val="11"/>
      <color indexed="16"/>
      <name val="Calibri"/>
      <family val="2"/>
    </font>
    <font>
      <sz val="11"/>
      <color indexed="12"/>
      <name val="Calibri"/>
      <family val="2"/>
    </font>
    <font>
      <b/>
      <sz val="15"/>
      <color indexed="62"/>
      <name val="Calibri"/>
      <family val="2"/>
    </font>
    <font>
      <b/>
      <sz val="11"/>
      <color rgb="FFFF6600"/>
      <name val="Calibri"/>
      <family val="2"/>
    </font>
  </fonts>
  <fills count="10">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47"/>
        <bgColor indexed="64"/>
      </patternFill>
    </fill>
    <fill>
      <patternFill patternType="solid">
        <fgColor indexed="8"/>
        <bgColor indexed="64"/>
      </patternFill>
    </fill>
    <fill>
      <patternFill patternType="solid">
        <fgColor indexed="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top/>
      <bottom/>
      <diagonal/>
    </border>
    <border>
      <left style="thin">
        <color indexed="64"/>
      </left>
      <right style="medium">
        <color rgb="FF000000"/>
      </right>
      <top style="thin">
        <color indexed="64"/>
      </top>
      <bottom style="thin">
        <color indexed="64"/>
      </bottom>
      <diagonal/>
    </border>
    <border>
      <left style="medium">
        <color rgb="FF000000"/>
      </left>
      <right/>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rgb="FF000000"/>
      </top>
      <bottom/>
      <diagonal/>
    </border>
    <border>
      <left/>
      <right style="medium">
        <color rgb="FF000000"/>
      </right>
      <top style="medium">
        <color rgb="FF000000"/>
      </top>
      <bottom/>
      <diagonal/>
    </border>
    <border>
      <left style="thin">
        <color indexed="64"/>
      </left>
      <right style="thin">
        <color indexed="64"/>
      </right>
      <top style="thin">
        <color indexed="64"/>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rgb="FF000000"/>
      </right>
      <top/>
      <bottom/>
      <diagonal/>
    </border>
    <border>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21"/>
      </left>
      <right/>
      <top style="medium">
        <color indexed="21"/>
      </top>
      <bottom/>
      <diagonal/>
    </border>
    <border>
      <left/>
      <right/>
      <top style="medium">
        <color indexed="21"/>
      </top>
      <bottom/>
      <diagonal/>
    </border>
    <border>
      <left/>
      <right style="medium">
        <color indexed="21"/>
      </right>
      <top style="medium">
        <color indexed="21"/>
      </top>
      <bottom/>
      <diagonal/>
    </border>
    <border>
      <left style="medium">
        <color indexed="21"/>
      </left>
      <right/>
      <top/>
      <bottom/>
      <diagonal/>
    </border>
    <border>
      <left style="medium">
        <color indexed="20"/>
      </left>
      <right/>
      <top style="medium">
        <color indexed="20"/>
      </top>
      <bottom/>
      <diagonal/>
    </border>
    <border>
      <left/>
      <right/>
      <top style="medium">
        <color indexed="20"/>
      </top>
      <bottom/>
      <diagonal/>
    </border>
    <border>
      <left/>
      <right style="medium">
        <color indexed="20"/>
      </right>
      <top style="medium">
        <color indexed="20"/>
      </top>
      <bottom/>
      <diagonal/>
    </border>
    <border>
      <left style="medium">
        <color indexed="20"/>
      </left>
      <right/>
      <top/>
      <bottom/>
      <diagonal/>
    </border>
    <border>
      <left/>
      <right style="medium">
        <color indexed="20"/>
      </right>
      <top/>
      <bottom/>
      <diagonal/>
    </border>
    <border>
      <left style="medium">
        <color indexed="20"/>
      </left>
      <right/>
      <top/>
      <bottom style="medium">
        <color indexed="20"/>
      </bottom>
      <diagonal/>
    </border>
    <border>
      <left/>
      <right/>
      <top/>
      <bottom style="medium">
        <color indexed="20"/>
      </bottom>
      <diagonal/>
    </border>
    <border>
      <left/>
      <right style="medium">
        <color indexed="20"/>
      </right>
      <top/>
      <bottom style="medium">
        <color indexed="2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4">
    <xf numFmtId="0" fontId="0" fillId="0" borderId="0"/>
    <xf numFmtId="0" fontId="16" fillId="0" borderId="0"/>
    <xf numFmtId="44" fontId="16" fillId="0" borderId="0" applyFont="0" applyFill="0" applyBorder="0" applyAlignment="0" applyProtection="0"/>
    <xf numFmtId="0" fontId="17" fillId="0" borderId="0"/>
  </cellStyleXfs>
  <cellXfs count="153">
    <xf numFmtId="0" fontId="0" fillId="0" borderId="0" xfId="0"/>
    <xf numFmtId="0" fontId="3" fillId="0" borderId="0" xfId="0" applyFont="1"/>
    <xf numFmtId="0" fontId="4" fillId="0" borderId="0" xfId="0" applyFont="1"/>
    <xf numFmtId="0" fontId="5" fillId="0" borderId="0" xfId="0" applyFont="1"/>
    <xf numFmtId="0" fontId="0" fillId="0" borderId="0" xfId="0" applyFont="1"/>
    <xf numFmtId="0" fontId="6" fillId="0" borderId="0" xfId="0" applyFont="1"/>
    <xf numFmtId="0" fontId="9" fillId="0" borderId="0" xfId="0" applyFont="1"/>
    <xf numFmtId="0" fontId="1" fillId="0" borderId="0" xfId="0" applyFont="1"/>
    <xf numFmtId="0" fontId="0" fillId="0" borderId="2" xfId="0" applyFont="1" applyBorder="1"/>
    <xf numFmtId="0" fontId="0" fillId="2" borderId="3" xfId="0" applyFont="1" applyFill="1" applyBorder="1"/>
    <xf numFmtId="0" fontId="0" fillId="0" borderId="4" xfId="0" applyFont="1" applyBorder="1"/>
    <xf numFmtId="0" fontId="0" fillId="2" borderId="5" xfId="0" applyFont="1" applyFill="1" applyBorder="1"/>
    <xf numFmtId="0" fontId="0" fillId="0" borderId="6" xfId="0" applyFont="1" applyBorder="1"/>
    <xf numFmtId="0" fontId="0" fillId="2" borderId="7" xfId="0" applyFont="1" applyFill="1" applyBorder="1"/>
    <xf numFmtId="0" fontId="0" fillId="3" borderId="7" xfId="0" applyFont="1" applyFill="1" applyBorder="1"/>
    <xf numFmtId="0" fontId="2" fillId="0" borderId="0" xfId="0" applyFont="1"/>
    <xf numFmtId="0" fontId="1" fillId="4" borderId="9" xfId="0" applyFont="1" applyFill="1" applyBorder="1"/>
    <xf numFmtId="0" fontId="1" fillId="4" borderId="10" xfId="0" applyFont="1" applyFill="1" applyBorder="1"/>
    <xf numFmtId="0" fontId="1" fillId="4" borderId="11" xfId="0" applyFont="1" applyFill="1" applyBorder="1"/>
    <xf numFmtId="0" fontId="1" fillId="4" borderId="12" xfId="0" applyFont="1" applyFill="1" applyBorder="1"/>
    <xf numFmtId="0" fontId="1" fillId="4" borderId="14" xfId="0" applyFont="1" applyFill="1" applyBorder="1"/>
    <xf numFmtId="0" fontId="1" fillId="4" borderId="15" xfId="0" applyFont="1" applyFill="1" applyBorder="1"/>
    <xf numFmtId="0" fontId="1" fillId="4" borderId="16" xfId="0" applyFont="1" applyFill="1" applyBorder="1"/>
    <xf numFmtId="164" fontId="0" fillId="0" borderId="0" xfId="0" applyNumberFormat="1" applyFont="1"/>
    <xf numFmtId="164" fontId="1" fillId="4" borderId="1" xfId="0" applyNumberFormat="1" applyFont="1" applyFill="1" applyBorder="1"/>
    <xf numFmtId="164" fontId="1" fillId="4" borderId="13" xfId="0" applyNumberFormat="1" applyFont="1" applyFill="1" applyBorder="1"/>
    <xf numFmtId="164" fontId="1" fillId="4" borderId="15" xfId="0" applyNumberFormat="1" applyFont="1" applyFill="1" applyBorder="1"/>
    <xf numFmtId="164" fontId="1" fillId="4" borderId="16" xfId="0" applyNumberFormat="1" applyFont="1" applyFill="1" applyBorder="1"/>
    <xf numFmtId="0" fontId="0" fillId="0" borderId="0" xfId="0" applyFont="1" applyAlignment="1">
      <alignment wrapText="1"/>
    </xf>
    <xf numFmtId="0" fontId="0" fillId="0" borderId="20" xfId="0" applyFont="1" applyBorder="1"/>
    <xf numFmtId="0" fontId="0" fillId="5" borderId="17" xfId="0" applyFont="1" applyFill="1" applyBorder="1"/>
    <xf numFmtId="0" fontId="0" fillId="5" borderId="21" xfId="0" applyFont="1" applyFill="1" applyBorder="1"/>
    <xf numFmtId="0" fontId="0" fillId="5" borderId="8" xfId="0" applyFont="1" applyFill="1" applyBorder="1"/>
    <xf numFmtId="0" fontId="0" fillId="5" borderId="22" xfId="0" applyFont="1" applyFill="1" applyBorder="1"/>
    <xf numFmtId="0" fontId="0" fillId="5" borderId="9" xfId="0" applyFont="1" applyFill="1" applyBorder="1"/>
    <xf numFmtId="0" fontId="0" fillId="5" borderId="1" xfId="0" applyFont="1" applyFill="1" applyBorder="1"/>
    <xf numFmtId="0" fontId="0" fillId="5" borderId="15" xfId="0" applyFont="1" applyFill="1" applyBorder="1"/>
    <xf numFmtId="0" fontId="3" fillId="5" borderId="12" xfId="0" applyFont="1" applyFill="1" applyBorder="1"/>
    <xf numFmtId="0" fontId="3" fillId="5" borderId="13" xfId="0" applyFont="1" applyFill="1" applyBorder="1"/>
    <xf numFmtId="0" fontId="3" fillId="5" borderId="16" xfId="0" applyFont="1" applyFill="1" applyBorder="1"/>
    <xf numFmtId="0" fontId="1" fillId="4" borderId="12" xfId="0" applyFont="1" applyFill="1" applyBorder="1" applyAlignment="1">
      <alignment wrapText="1"/>
    </xf>
    <xf numFmtId="0" fontId="1" fillId="4" borderId="16" xfId="0" applyFont="1" applyFill="1" applyBorder="1" applyAlignment="1">
      <alignment wrapText="1"/>
    </xf>
    <xf numFmtId="0" fontId="0" fillId="5" borderId="17" xfId="0" applyFont="1" applyFill="1" applyBorder="1" applyAlignment="1">
      <alignment wrapText="1"/>
    </xf>
    <xf numFmtId="0" fontId="0" fillId="5" borderId="12" xfId="0" applyFont="1" applyFill="1" applyBorder="1" applyAlignment="1">
      <alignment wrapText="1"/>
    </xf>
    <xf numFmtId="0" fontId="0" fillId="5" borderId="13" xfId="0" applyFont="1" applyFill="1" applyBorder="1" applyAlignment="1">
      <alignment wrapText="1"/>
    </xf>
    <xf numFmtId="0" fontId="0" fillId="5" borderId="16" xfId="0" applyFont="1" applyFill="1" applyBorder="1" applyAlignment="1">
      <alignment wrapText="1"/>
    </xf>
    <xf numFmtId="0" fontId="1" fillId="4" borderId="0" xfId="0" applyFont="1" applyFill="1" applyBorder="1"/>
    <xf numFmtId="0" fontId="0" fillId="2" borderId="1" xfId="0" applyFont="1" applyFill="1" applyBorder="1"/>
    <xf numFmtId="0" fontId="0" fillId="0" borderId="23" xfId="0" applyFont="1" applyBorder="1"/>
    <xf numFmtId="0" fontId="0" fillId="0" borderId="24" xfId="0" applyFont="1" applyBorder="1"/>
    <xf numFmtId="0" fontId="0" fillId="2" borderId="25" xfId="0" applyFont="1" applyFill="1" applyBorder="1"/>
    <xf numFmtId="0" fontId="1" fillId="4" borderId="1" xfId="0" applyFont="1" applyFill="1" applyBorder="1"/>
    <xf numFmtId="0" fontId="13" fillId="4" borderId="1" xfId="0" applyFont="1" applyFill="1" applyBorder="1"/>
    <xf numFmtId="0" fontId="13" fillId="4" borderId="9" xfId="0" applyFont="1" applyFill="1" applyBorder="1"/>
    <xf numFmtId="0" fontId="13" fillId="4" borderId="10" xfId="0" applyFont="1" applyFill="1" applyBorder="1"/>
    <xf numFmtId="0" fontId="13" fillId="4" borderId="11" xfId="0" applyFont="1" applyFill="1" applyBorder="1"/>
    <xf numFmtId="0" fontId="13" fillId="4" borderId="12" xfId="0" applyFont="1" applyFill="1" applyBorder="1"/>
    <xf numFmtId="0" fontId="13" fillId="4" borderId="13" xfId="0" applyFont="1" applyFill="1" applyBorder="1"/>
    <xf numFmtId="0" fontId="13" fillId="4" borderId="14" xfId="0" applyFont="1" applyFill="1" applyBorder="1"/>
    <xf numFmtId="0" fontId="13" fillId="4" borderId="16" xfId="0" applyFont="1" applyFill="1" applyBorder="1"/>
    <xf numFmtId="0" fontId="0" fillId="0" borderId="0" xfId="0" applyFont="1" applyFill="1" applyBorder="1"/>
    <xf numFmtId="0" fontId="0" fillId="0" borderId="0" xfId="0" applyFont="1" applyBorder="1"/>
    <xf numFmtId="0" fontId="1" fillId="4" borderId="13" xfId="0" applyFont="1" applyFill="1" applyBorder="1"/>
    <xf numFmtId="0" fontId="1" fillId="4" borderId="26" xfId="0" applyFont="1" applyFill="1" applyBorder="1"/>
    <xf numFmtId="0" fontId="1" fillId="4" borderId="27" xfId="0" applyFont="1" applyFill="1" applyBorder="1"/>
    <xf numFmtId="0" fontId="1" fillId="4" borderId="28" xfId="0" applyFont="1" applyFill="1" applyBorder="1"/>
    <xf numFmtId="0" fontId="14" fillId="0" borderId="0" xfId="0" applyFont="1"/>
    <xf numFmtId="0" fontId="13" fillId="4" borderId="10" xfId="0" applyFont="1" applyFill="1" applyBorder="1" applyAlignment="1">
      <alignment wrapText="1"/>
    </xf>
    <xf numFmtId="0" fontId="13" fillId="4" borderId="11" xfId="0" applyFont="1" applyFill="1" applyBorder="1" applyAlignment="1">
      <alignment wrapText="1"/>
    </xf>
    <xf numFmtId="0" fontId="13" fillId="4" borderId="14" xfId="0" applyFont="1" applyFill="1" applyBorder="1" applyAlignment="1">
      <alignment wrapText="1"/>
    </xf>
    <xf numFmtId="0" fontId="13" fillId="4" borderId="15" xfId="0" applyFont="1" applyFill="1" applyBorder="1"/>
    <xf numFmtId="0" fontId="15" fillId="0" borderId="0" xfId="0" applyFont="1"/>
    <xf numFmtId="0" fontId="13" fillId="4" borderId="29" xfId="0" applyFont="1" applyFill="1" applyBorder="1"/>
    <xf numFmtId="0" fontId="13" fillId="4" borderId="30" xfId="0" applyFont="1" applyFill="1" applyBorder="1"/>
    <xf numFmtId="0" fontId="15" fillId="0" borderId="4" xfId="0" applyFont="1" applyBorder="1"/>
    <xf numFmtId="0" fontId="0" fillId="0" borderId="31" xfId="0" applyFont="1" applyBorder="1"/>
    <xf numFmtId="0" fontId="0" fillId="3" borderId="0" xfId="0" applyFont="1" applyFill="1" applyBorder="1"/>
    <xf numFmtId="0" fontId="0" fillId="3" borderId="32" xfId="0" applyFont="1" applyFill="1" applyBorder="1"/>
    <xf numFmtId="0" fontId="14" fillId="0" borderId="31" xfId="0" applyFont="1" applyBorder="1"/>
    <xf numFmtId="0" fontId="18" fillId="0" borderId="0" xfId="1" applyFont="1"/>
    <xf numFmtId="0" fontId="19" fillId="0" borderId="0" xfId="1" applyFont="1"/>
    <xf numFmtId="0" fontId="19" fillId="8" borderId="0" xfId="1" applyFont="1" applyFill="1"/>
    <xf numFmtId="0" fontId="19" fillId="0" borderId="0" xfId="1" applyFont="1" applyFill="1"/>
    <xf numFmtId="0" fontId="20" fillId="0" borderId="0" xfId="1" applyFont="1" applyFill="1"/>
    <xf numFmtId="0" fontId="20" fillId="0" borderId="0" xfId="1" applyFont="1" applyFill="1" applyBorder="1"/>
    <xf numFmtId="0" fontId="19" fillId="0" borderId="0" xfId="1" applyFont="1" applyFill="1" applyBorder="1"/>
    <xf numFmtId="0" fontId="19" fillId="6" borderId="18" xfId="1" applyFont="1" applyFill="1" applyBorder="1"/>
    <xf numFmtId="0" fontId="20" fillId="6" borderId="19" xfId="1" applyFont="1" applyFill="1" applyBorder="1" applyAlignment="1">
      <alignment horizontal="right"/>
    </xf>
    <xf numFmtId="0" fontId="20" fillId="6" borderId="20" xfId="1" applyFont="1" applyFill="1" applyBorder="1"/>
    <xf numFmtId="0" fontId="19" fillId="6" borderId="19" xfId="1" applyFont="1" applyFill="1" applyBorder="1"/>
    <xf numFmtId="44" fontId="20" fillId="6" borderId="20" xfId="2" applyFont="1" applyFill="1" applyBorder="1"/>
    <xf numFmtId="0" fontId="20" fillId="0" borderId="0" xfId="1" applyFont="1"/>
    <xf numFmtId="0" fontId="19" fillId="7" borderId="0" xfId="1" applyFont="1" applyFill="1"/>
    <xf numFmtId="0" fontId="19" fillId="6" borderId="33" xfId="1" applyFont="1" applyFill="1" applyBorder="1"/>
    <xf numFmtId="0" fontId="20" fillId="6" borderId="34" xfId="1" applyFont="1" applyFill="1" applyBorder="1" applyAlignment="1">
      <alignment horizontal="right"/>
    </xf>
    <xf numFmtId="0" fontId="20" fillId="6" borderId="35" xfId="1" applyFont="1" applyFill="1" applyBorder="1"/>
    <xf numFmtId="0" fontId="19" fillId="0" borderId="33" xfId="1" applyFont="1" applyBorder="1"/>
    <xf numFmtId="0" fontId="19" fillId="0" borderId="34" xfId="1" applyFont="1" applyBorder="1"/>
    <xf numFmtId="0" fontId="19" fillId="6" borderId="34" xfId="1" applyFont="1" applyFill="1" applyBorder="1"/>
    <xf numFmtId="0" fontId="21" fillId="0" borderId="0" xfId="1" applyFont="1"/>
    <xf numFmtId="0" fontId="20" fillId="0" borderId="0" xfId="1" applyFont="1" applyFill="1" applyAlignment="1">
      <alignment horizontal="right"/>
    </xf>
    <xf numFmtId="0" fontId="20" fillId="0" borderId="0" xfId="1" applyFont="1" applyBorder="1"/>
    <xf numFmtId="0" fontId="19" fillId="0" borderId="0" xfId="1" applyFont="1" applyBorder="1"/>
    <xf numFmtId="0" fontId="20" fillId="0" borderId="0" xfId="1" applyFont="1" applyBorder="1" applyAlignment="1">
      <alignment wrapText="1"/>
    </xf>
    <xf numFmtId="0" fontId="19" fillId="0" borderId="0" xfId="1" applyFont="1" applyFill="1" applyBorder="1" applyAlignment="1" applyProtection="1">
      <alignment horizontal="center"/>
      <protection locked="0"/>
    </xf>
    <xf numFmtId="165" fontId="19" fillId="0" borderId="0" xfId="2" applyNumberFormat="1" applyFont="1" applyFill="1" applyBorder="1" applyAlignment="1" applyProtection="1">
      <alignment horizontal="center"/>
      <protection locked="0"/>
    </xf>
    <xf numFmtId="0" fontId="19" fillId="6" borderId="0" xfId="1" applyFont="1" applyFill="1"/>
    <xf numFmtId="0" fontId="19" fillId="9" borderId="0" xfId="1" applyFont="1" applyFill="1"/>
    <xf numFmtId="0" fontId="19" fillId="0" borderId="0" xfId="1" applyFont="1" applyAlignment="1">
      <alignment wrapText="1"/>
    </xf>
    <xf numFmtId="1" fontId="19" fillId="0" borderId="0" xfId="1" applyNumberFormat="1" applyFont="1"/>
    <xf numFmtId="0" fontId="22" fillId="0" borderId="0" xfId="1" applyFont="1"/>
    <xf numFmtId="0" fontId="19" fillId="0" borderId="36" xfId="1" applyFont="1" applyBorder="1"/>
    <xf numFmtId="0" fontId="19" fillId="0" borderId="37" xfId="1" applyFont="1" applyBorder="1"/>
    <xf numFmtId="0" fontId="19" fillId="0" borderId="38" xfId="1" applyFont="1" applyBorder="1"/>
    <xf numFmtId="0" fontId="19" fillId="0" borderId="39" xfId="1" applyFont="1" applyBorder="1"/>
    <xf numFmtId="0" fontId="19" fillId="0" borderId="39" xfId="1" applyNumberFormat="1" applyFont="1" applyBorder="1"/>
    <xf numFmtId="0" fontId="23" fillId="0" borderId="0" xfId="1" applyFont="1"/>
    <xf numFmtId="0" fontId="19" fillId="0" borderId="40" xfId="1" applyFont="1" applyBorder="1" applyAlignment="1">
      <alignment wrapText="1"/>
    </xf>
    <xf numFmtId="0" fontId="19" fillId="0" borderId="41" xfId="1" applyFont="1" applyBorder="1" applyAlignment="1">
      <alignment wrapText="1"/>
    </xf>
    <xf numFmtId="0" fontId="19" fillId="0" borderId="42" xfId="1" applyFont="1" applyBorder="1" applyAlignment="1">
      <alignment wrapText="1"/>
    </xf>
    <xf numFmtId="0" fontId="19" fillId="0" borderId="43" xfId="1" applyFont="1" applyBorder="1"/>
    <xf numFmtId="0" fontId="19" fillId="0" borderId="44" xfId="1" applyFont="1" applyBorder="1"/>
    <xf numFmtId="0" fontId="19" fillId="0" borderId="45" xfId="1" applyFont="1" applyBorder="1"/>
    <xf numFmtId="0" fontId="19" fillId="0" borderId="46" xfId="1" applyFont="1" applyBorder="1"/>
    <xf numFmtId="0" fontId="19" fillId="0" borderId="47" xfId="1" applyFont="1" applyBorder="1"/>
    <xf numFmtId="0" fontId="24" fillId="0" borderId="0" xfId="1" applyFont="1"/>
    <xf numFmtId="0" fontId="25" fillId="0" borderId="0" xfId="1" applyFont="1"/>
    <xf numFmtId="0" fontId="26" fillId="0" borderId="0" xfId="1" applyFont="1"/>
    <xf numFmtId="0" fontId="27" fillId="0" borderId="0" xfId="1" applyFont="1"/>
    <xf numFmtId="0" fontId="28" fillId="0" borderId="0" xfId="1" applyFont="1"/>
    <xf numFmtId="1" fontId="20" fillId="0" borderId="0" xfId="1" applyNumberFormat="1" applyFont="1" applyFill="1" applyBorder="1"/>
    <xf numFmtId="0" fontId="29" fillId="0" borderId="0" xfId="1" applyFont="1"/>
    <xf numFmtId="0" fontId="17" fillId="2" borderId="1" xfId="3" applyFont="1" applyFill="1" applyBorder="1" applyAlignment="1">
      <alignment wrapText="1"/>
    </xf>
    <xf numFmtId="6" fontId="17" fillId="2" borderId="1" xfId="3" applyNumberFormat="1" applyFont="1" applyFill="1" applyBorder="1" applyAlignment="1">
      <alignment wrapText="1"/>
    </xf>
    <xf numFmtId="0" fontId="19" fillId="2" borderId="1" xfId="1" applyFont="1" applyFill="1" applyBorder="1" applyAlignment="1" applyProtection="1">
      <alignment horizontal="center"/>
      <protection locked="0"/>
    </xf>
    <xf numFmtId="0" fontId="17" fillId="0" borderId="2" xfId="3" applyFont="1" applyBorder="1" applyAlignment="1">
      <alignment wrapText="1"/>
    </xf>
    <xf numFmtId="0" fontId="17" fillId="0" borderId="23" xfId="3" applyFont="1" applyBorder="1" applyAlignment="1">
      <alignment wrapText="1"/>
    </xf>
    <xf numFmtId="0" fontId="3" fillId="0" borderId="23" xfId="3" applyFont="1" applyBorder="1" applyAlignment="1">
      <alignment wrapText="1"/>
    </xf>
    <xf numFmtId="0" fontId="20" fillId="0" borderId="23" xfId="1" applyFont="1" applyBorder="1" applyAlignment="1">
      <alignment horizontal="center" wrapText="1"/>
    </xf>
    <xf numFmtId="0" fontId="20" fillId="0" borderId="24" xfId="1" applyFont="1" applyBorder="1" applyAlignment="1">
      <alignment horizontal="center" wrapText="1"/>
    </xf>
    <xf numFmtId="0" fontId="17" fillId="0" borderId="4" xfId="3" applyFont="1" applyBorder="1" applyAlignment="1">
      <alignment wrapText="1"/>
    </xf>
    <xf numFmtId="0" fontId="19" fillId="2" borderId="5" xfId="1" applyFont="1" applyFill="1" applyBorder="1" applyAlignment="1" applyProtection="1">
      <alignment horizontal="center"/>
      <protection locked="0"/>
    </xf>
    <xf numFmtId="0" fontId="19" fillId="0" borderId="6" xfId="1" applyFont="1" applyFill="1" applyBorder="1" applyAlignment="1" applyProtection="1">
      <alignment horizontal="center"/>
      <protection locked="0"/>
    </xf>
    <xf numFmtId="0" fontId="19" fillId="2" borderId="25" xfId="1" applyFont="1" applyFill="1" applyBorder="1" applyAlignment="1" applyProtection="1">
      <alignment horizontal="center"/>
      <protection locked="0"/>
    </xf>
    <xf numFmtId="165" fontId="19" fillId="2" borderId="25" xfId="2" applyNumberFormat="1" applyFont="1" applyFill="1" applyBorder="1" applyAlignment="1" applyProtection="1">
      <alignment horizontal="center"/>
      <protection locked="0"/>
    </xf>
    <xf numFmtId="0" fontId="19" fillId="2" borderId="7" xfId="1" applyFont="1" applyFill="1" applyBorder="1" applyAlignment="1" applyProtection="1">
      <alignment horizontal="center"/>
      <protection locked="0"/>
    </xf>
    <xf numFmtId="0" fontId="20" fillId="0" borderId="48" xfId="1" applyFont="1" applyBorder="1" applyAlignment="1">
      <alignment wrapText="1"/>
    </xf>
    <xf numFmtId="1" fontId="20" fillId="6" borderId="49" xfId="1" applyNumberFormat="1" applyFont="1" applyFill="1" applyBorder="1"/>
    <xf numFmtId="1" fontId="20" fillId="6" borderId="50" xfId="1" applyNumberFormat="1" applyFont="1" applyFill="1" applyBorder="1"/>
    <xf numFmtId="0" fontId="0" fillId="2" borderId="1" xfId="3" applyFont="1" applyFill="1" applyBorder="1" applyAlignment="1">
      <alignment wrapText="1"/>
    </xf>
    <xf numFmtId="0" fontId="0" fillId="0" borderId="0" xfId="0" applyFont="1" applyAlignment="1">
      <alignment horizontal="left" vertical="top" wrapText="1"/>
    </xf>
    <xf numFmtId="0" fontId="3" fillId="0" borderId="18" xfId="0" applyFont="1" applyBorder="1" applyAlignment="1">
      <alignment horizontal="center"/>
    </xf>
    <xf numFmtId="0" fontId="3" fillId="0" borderId="19" xfId="0" applyFont="1" applyBorder="1" applyAlignment="1">
      <alignment horizontal="center"/>
    </xf>
  </cellXfs>
  <cellStyles count="4">
    <cellStyle name="Currency 2" xfId="2"/>
    <cellStyle name="Normal" xfId="0" builtinId="0"/>
    <cellStyle name="Normal 2" xfId="1"/>
    <cellStyle name="Normal 3" xfId="3"/>
  </cellStyles>
  <dxfs count="4">
    <dxf>
      <font>
        <condense val="0"/>
        <extend val="0"/>
        <color indexed="9"/>
      </font>
    </dxf>
    <dxf>
      <font>
        <condense val="0"/>
        <extend val="0"/>
        <color indexed="9"/>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95250</xdr:rowOff>
        </xdr:from>
        <xdr:to>
          <xdr:col>1</xdr:col>
          <xdr:colOff>0</xdr:colOff>
          <xdr:row>2</xdr:row>
          <xdr:rowOff>95250</xdr:rowOff>
        </xdr:to>
        <xdr:sp macro="" textlink="">
          <xdr:nvSpPr>
            <xdr:cNvPr id="4098" name="Button 2" hidden="1">
              <a:extLst>
                <a:ext uri="{63B3BB69-23CF-44E3-9099-C40C66FF867C}">
                  <a14:compatExt spid="_x0000_s4098"/>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a:t>
              </a:r>
            </a:p>
          </xdr:txBody>
        </xdr:sp>
        <xdr:clientData fPrintsWithSheet="0"/>
      </xdr:twoCellAnchor>
    </mc:Choice>
    <mc:Fallback/>
  </mc:AlternateContent>
  <xdr:twoCellAnchor>
    <xdr:from>
      <xdr:col>2</xdr:col>
      <xdr:colOff>66675</xdr:colOff>
      <xdr:row>1</xdr:row>
      <xdr:rowOff>0</xdr:rowOff>
    </xdr:from>
    <xdr:to>
      <xdr:col>10</xdr:col>
      <xdr:colOff>15875</xdr:colOff>
      <xdr:row>3</xdr:row>
      <xdr:rowOff>114300</xdr:rowOff>
    </xdr:to>
    <xdr:sp macro="" textlink="">
      <xdr:nvSpPr>
        <xdr:cNvPr id="2" name="messageTextbox">
          <a:extLst>
            <a:ext uri="{FF2B5EF4-FFF2-40B4-BE49-F238E27FC236}">
              <a16:creationId xmlns:a16="http://schemas.microsoft.com/office/drawing/2014/main" xmlns="" id="{00000000-0008-0000-0800-000002000000}"/>
            </a:ext>
          </a:extLst>
        </xdr:cNvPr>
        <xdr:cNvSpPr txBox="1"/>
      </xdr:nvSpPr>
      <xdr:spPr>
        <a:xfrm>
          <a:off x="1524000" y="247650"/>
          <a:ext cx="4826000" cy="4953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start node, end node and cost for each branch and then press the Solve button.</a:t>
          </a:r>
        </a:p>
      </xdr:txBody>
    </xdr:sp>
    <xdr:clientData fPrint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95250</xdr:rowOff>
        </xdr:from>
        <xdr:to>
          <xdr:col>1</xdr:col>
          <xdr:colOff>0</xdr:colOff>
          <xdr:row>2</xdr:row>
          <xdr:rowOff>95250</xdr:rowOff>
        </xdr:to>
        <xdr:sp macro="" textlink="">
          <xdr:nvSpPr>
            <xdr:cNvPr id="6146" name="Button 2" hidden="1">
              <a:extLst>
                <a:ext uri="{63B3BB69-23CF-44E3-9099-C40C66FF867C}">
                  <a14:compatExt spid="_x0000_s6146"/>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a:t>
              </a:r>
            </a:p>
          </xdr:txBody>
        </xdr:sp>
        <xdr:clientData fPrintsWithSheet="0"/>
      </xdr:twoCellAnchor>
    </mc:Choice>
    <mc:Fallback/>
  </mc:AlternateContent>
  <xdr:twoCellAnchor>
    <xdr:from>
      <xdr:col>2</xdr:col>
      <xdr:colOff>66675</xdr:colOff>
      <xdr:row>1</xdr:row>
      <xdr:rowOff>0</xdr:rowOff>
    </xdr:from>
    <xdr:to>
      <xdr:col>10</xdr:col>
      <xdr:colOff>15875</xdr:colOff>
      <xdr:row>3</xdr:row>
      <xdr:rowOff>114300</xdr:rowOff>
    </xdr:to>
    <xdr:sp macro="" textlink="">
      <xdr:nvSpPr>
        <xdr:cNvPr id="2" name="messageTextbox">
          <a:extLst>
            <a:ext uri="{FF2B5EF4-FFF2-40B4-BE49-F238E27FC236}">
              <a16:creationId xmlns:a16="http://schemas.microsoft.com/office/drawing/2014/main" xmlns="" id="{00000000-0008-0000-0600-000002000000}"/>
            </a:ext>
          </a:extLst>
        </xdr:cNvPr>
        <xdr:cNvSpPr txBox="1"/>
      </xdr:nvSpPr>
      <xdr:spPr>
        <a:xfrm>
          <a:off x="1524000" y="247650"/>
          <a:ext cx="4826000" cy="4953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start node, end node and cost for each branch and then press the Solve button.</a:t>
          </a:r>
        </a:p>
      </xdr:txBody>
    </xdr:sp>
    <xdr:clientData fPrintsWithSheet="0"/>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95250</xdr:rowOff>
        </xdr:from>
        <xdr:to>
          <xdr:col>1</xdr:col>
          <xdr:colOff>0</xdr:colOff>
          <xdr:row>2</xdr:row>
          <xdr:rowOff>104775</xdr:rowOff>
        </xdr:to>
        <xdr:sp macro="" textlink="">
          <xdr:nvSpPr>
            <xdr:cNvPr id="13314" name="Button 2" hidden="1">
              <a:extLst>
                <a:ext uri="{63B3BB69-23CF-44E3-9099-C40C66FF867C}">
                  <a14:compatExt spid="_x0000_s13314"/>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a:t>
              </a:r>
            </a:p>
          </xdr:txBody>
        </xdr:sp>
        <xdr:clientData fPrintsWithSheet="0"/>
      </xdr:twoCellAnchor>
    </mc:Choice>
    <mc:Fallback/>
  </mc:AlternateContent>
  <xdr:twoCellAnchor>
    <xdr:from>
      <xdr:col>2</xdr:col>
      <xdr:colOff>304800</xdr:colOff>
      <xdr:row>1</xdr:row>
      <xdr:rowOff>0</xdr:rowOff>
    </xdr:from>
    <xdr:to>
      <xdr:col>10</xdr:col>
      <xdr:colOff>254000</xdr:colOff>
      <xdr:row>5</xdr:row>
      <xdr:rowOff>190500</xdr:rowOff>
    </xdr:to>
    <xdr:sp macro="" textlink="">
      <xdr:nvSpPr>
        <xdr:cNvPr id="2" name="messageTextbox">
          <a:extLst>
            <a:ext uri="{FF2B5EF4-FFF2-40B4-BE49-F238E27FC236}">
              <a16:creationId xmlns:a16="http://schemas.microsoft.com/office/drawing/2014/main" xmlns="" id="{00000000-0008-0000-0500-000002000000}"/>
            </a:ext>
          </a:extLst>
        </xdr:cNvPr>
        <xdr:cNvSpPr txBox="1"/>
      </xdr:nvSpPr>
      <xdr:spPr>
        <a:xfrm>
          <a:off x="1743075" y="247650"/>
          <a:ext cx="4826000" cy="9525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start node, end node and distance for each branch and then press the Solve button. You may use any node as the origin or destination. The default values used are the lowest and highest node numbers. In an undirected network distances from end node to start node are the same as from the start node to the end node. In a directed network the arc from end node to start node is not automatic and must be entered by the user.</a:t>
          </a:r>
        </a:p>
      </xdr:txBody>
    </xdr:sp>
    <xdr:clientData fPrintsWithSheet="0"/>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95250</xdr:rowOff>
        </xdr:from>
        <xdr:to>
          <xdr:col>1</xdr:col>
          <xdr:colOff>0</xdr:colOff>
          <xdr:row>2</xdr:row>
          <xdr:rowOff>104775</xdr:rowOff>
        </xdr:to>
        <xdr:sp macro="" textlink="">
          <xdr:nvSpPr>
            <xdr:cNvPr id="16386" name="Button 2" hidden="1">
              <a:extLst>
                <a:ext uri="{63B3BB69-23CF-44E3-9099-C40C66FF867C}">
                  <a14:compatExt spid="_x0000_s16386"/>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a:t>
              </a:r>
            </a:p>
          </xdr:txBody>
        </xdr:sp>
        <xdr:clientData fPrintsWithSheet="0"/>
      </xdr:twoCellAnchor>
    </mc:Choice>
    <mc:Fallback/>
  </mc:AlternateContent>
  <xdr:twoCellAnchor>
    <xdr:from>
      <xdr:col>2</xdr:col>
      <xdr:colOff>304800</xdr:colOff>
      <xdr:row>1</xdr:row>
      <xdr:rowOff>0</xdr:rowOff>
    </xdr:from>
    <xdr:to>
      <xdr:col>10</xdr:col>
      <xdr:colOff>254000</xdr:colOff>
      <xdr:row>5</xdr:row>
      <xdr:rowOff>190500</xdr:rowOff>
    </xdr:to>
    <xdr:sp macro="" textlink="">
      <xdr:nvSpPr>
        <xdr:cNvPr id="2" name="messageTextbox">
          <a:extLst>
            <a:ext uri="{FF2B5EF4-FFF2-40B4-BE49-F238E27FC236}">
              <a16:creationId xmlns:a16="http://schemas.microsoft.com/office/drawing/2014/main" xmlns="" id="{00000000-0008-0000-0700-000002000000}"/>
            </a:ext>
          </a:extLst>
        </xdr:cNvPr>
        <xdr:cNvSpPr txBox="1"/>
      </xdr:nvSpPr>
      <xdr:spPr>
        <a:xfrm>
          <a:off x="1743075" y="247650"/>
          <a:ext cx="4826000" cy="9525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start node, end node and distance for each branch and then press the Solve button. You may use any node as the origin or destination. The default values used are the lowest and highest node numbers. In an undirected network distances from end node to start node are the same as from the start node to the end node. In a directed network the arc from end node to start node is not automatic and must be entered by the user.</a:t>
          </a:r>
        </a:p>
      </xdr:txBody>
    </xdr:sp>
    <xdr:clientData fPrintsWithSheet="0"/>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95250</xdr:rowOff>
        </xdr:from>
        <xdr:to>
          <xdr:col>1</xdr:col>
          <xdr:colOff>0</xdr:colOff>
          <xdr:row>2</xdr:row>
          <xdr:rowOff>95250</xdr:rowOff>
        </xdr:to>
        <xdr:sp macro="" textlink="">
          <xdr:nvSpPr>
            <xdr:cNvPr id="18434" name="Button 2" hidden="1">
              <a:extLst>
                <a:ext uri="{63B3BB69-23CF-44E3-9099-C40C66FF867C}">
                  <a14:compatExt spid="_x0000_s18434"/>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a:t>
              </a:r>
            </a:p>
          </xdr:txBody>
        </xdr:sp>
        <xdr:clientData fPrintsWithSheet="0"/>
      </xdr:twoCellAnchor>
    </mc:Choice>
    <mc:Fallback/>
  </mc:AlternateContent>
  <xdr:twoCellAnchor>
    <xdr:from>
      <xdr:col>2</xdr:col>
      <xdr:colOff>66675</xdr:colOff>
      <xdr:row>1</xdr:row>
      <xdr:rowOff>0</xdr:rowOff>
    </xdr:from>
    <xdr:to>
      <xdr:col>10</xdr:col>
      <xdr:colOff>15875</xdr:colOff>
      <xdr:row>4</xdr:row>
      <xdr:rowOff>114300</xdr:rowOff>
    </xdr:to>
    <xdr:sp macro="" textlink="">
      <xdr:nvSpPr>
        <xdr:cNvPr id="2" name="messageTextbox">
          <a:extLst>
            <a:ext uri="{FF2B5EF4-FFF2-40B4-BE49-F238E27FC236}">
              <a16:creationId xmlns:a16="http://schemas.microsoft.com/office/drawing/2014/main" xmlns="" id="{00000000-0008-0000-0400-000002000000}"/>
            </a:ext>
          </a:extLst>
        </xdr:cNvPr>
        <xdr:cNvSpPr txBox="1"/>
      </xdr:nvSpPr>
      <xdr:spPr>
        <a:xfrm>
          <a:off x="1524000" y="247650"/>
          <a:ext cx="4826000" cy="6858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start node, end node capacity and reverse capacity for each branch and then press the Solve button. You may use any node as the source or sink. The default values used are the lowest and highest node numbers.</a:t>
          </a:r>
        </a:p>
      </xdr:txBody>
    </xdr:sp>
    <xdr:clientData fPrintsWithSheet="0"/>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95250</xdr:rowOff>
        </xdr:from>
        <xdr:to>
          <xdr:col>1</xdr:col>
          <xdr:colOff>0</xdr:colOff>
          <xdr:row>2</xdr:row>
          <xdr:rowOff>95250</xdr:rowOff>
        </xdr:to>
        <xdr:sp macro="" textlink="">
          <xdr:nvSpPr>
            <xdr:cNvPr id="19458" name="Button 2" hidden="1">
              <a:extLst>
                <a:ext uri="{63B3BB69-23CF-44E3-9099-C40C66FF867C}">
                  <a14:compatExt spid="_x0000_s19458"/>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a:t>
              </a:r>
            </a:p>
          </xdr:txBody>
        </xdr:sp>
        <xdr:clientData fPrintsWithSheet="0"/>
      </xdr:twoCellAnchor>
    </mc:Choice>
    <mc:Fallback/>
  </mc:AlternateContent>
  <xdr:twoCellAnchor>
    <xdr:from>
      <xdr:col>2</xdr:col>
      <xdr:colOff>66675</xdr:colOff>
      <xdr:row>1</xdr:row>
      <xdr:rowOff>0</xdr:rowOff>
    </xdr:from>
    <xdr:to>
      <xdr:col>10</xdr:col>
      <xdr:colOff>15875</xdr:colOff>
      <xdr:row>4</xdr:row>
      <xdr:rowOff>114300</xdr:rowOff>
    </xdr:to>
    <xdr:sp macro="" textlink="">
      <xdr:nvSpPr>
        <xdr:cNvPr id="2" name="messageTextbox">
          <a:extLst>
            <a:ext uri="{FF2B5EF4-FFF2-40B4-BE49-F238E27FC236}">
              <a16:creationId xmlns:a16="http://schemas.microsoft.com/office/drawing/2014/main" xmlns="" id="{00000000-0008-0000-0300-000002000000}"/>
            </a:ext>
          </a:extLst>
        </xdr:cNvPr>
        <xdr:cNvSpPr txBox="1"/>
      </xdr:nvSpPr>
      <xdr:spPr>
        <a:xfrm>
          <a:off x="1524000" y="247650"/>
          <a:ext cx="4826000" cy="6858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start node, end node capacity and reverse capacity for each branch and then press the Solve button. You may use any node as the source or sink. The default values used are the lowest and highest node numbers.</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254000</xdr:colOff>
      <xdr:row>1</xdr:row>
      <xdr:rowOff>0</xdr:rowOff>
    </xdr:from>
    <xdr:to>
      <xdr:col>8</xdr:col>
      <xdr:colOff>600075</xdr:colOff>
      <xdr:row>3</xdr:row>
      <xdr:rowOff>0</xdr:rowOff>
    </xdr:to>
    <xdr:sp macro="" textlink="">
      <xdr:nvSpPr>
        <xdr:cNvPr id="2" name="messageTextbox">
          <a:extLst>
            <a:ext uri="{FF2B5EF4-FFF2-40B4-BE49-F238E27FC236}">
              <a16:creationId xmlns:a16="http://schemas.microsoft.com/office/drawing/2014/main" xmlns="" id="{00000000-0008-0000-0200-000002000000}"/>
            </a:ext>
          </a:extLst>
        </xdr:cNvPr>
        <xdr:cNvSpPr txBox="1"/>
      </xdr:nvSpPr>
      <xdr:spPr>
        <a:xfrm>
          <a:off x="254000" y="247650"/>
          <a:ext cx="5080000" cy="3810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times in the appropriate column(s). Enter the precedences, one per column. (Do not use commas). </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254000</xdr:colOff>
      <xdr:row>1</xdr:row>
      <xdr:rowOff>0</xdr:rowOff>
    </xdr:from>
    <xdr:to>
      <xdr:col>8</xdr:col>
      <xdr:colOff>600075</xdr:colOff>
      <xdr:row>3</xdr:row>
      <xdr:rowOff>0</xdr:rowOff>
    </xdr:to>
    <xdr:sp macro="" textlink="">
      <xdr:nvSpPr>
        <xdr:cNvPr id="2" name="messageTextbox">
          <a:extLst>
            <a:ext uri="{FF2B5EF4-FFF2-40B4-BE49-F238E27FC236}">
              <a16:creationId xmlns:a16="http://schemas.microsoft.com/office/drawing/2014/main" xmlns="" id="{00000000-0008-0000-0100-000002000000}"/>
            </a:ext>
          </a:extLst>
        </xdr:cNvPr>
        <xdr:cNvSpPr txBox="1"/>
      </xdr:nvSpPr>
      <xdr:spPr>
        <a:xfrm>
          <a:off x="254000" y="247650"/>
          <a:ext cx="5080000" cy="3810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times in the appropriate column(s). Enter the precedences, one per column. (Do not use commas). </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4</xdr:col>
      <xdr:colOff>361950</xdr:colOff>
      <xdr:row>1</xdr:row>
      <xdr:rowOff>0</xdr:rowOff>
    </xdr:from>
    <xdr:to>
      <xdr:col>11</xdr:col>
      <xdr:colOff>304800</xdr:colOff>
      <xdr:row>4</xdr:row>
      <xdr:rowOff>117475</xdr:rowOff>
    </xdr:to>
    <xdr:sp macro="" textlink="">
      <xdr:nvSpPr>
        <xdr:cNvPr id="2" name="messageTextbox">
          <a:extLst>
            <a:ext uri="{FF2B5EF4-FFF2-40B4-BE49-F238E27FC236}">
              <a16:creationId xmlns:a16="http://schemas.microsoft.com/office/drawing/2014/main" xmlns="" id="{C149DEA0-DA70-47D2-8A9A-0C07654E6A7B}"/>
            </a:ext>
          </a:extLst>
        </xdr:cNvPr>
        <xdr:cNvSpPr txBox="1"/>
      </xdr:nvSpPr>
      <xdr:spPr>
        <a:xfrm>
          <a:off x="3238500" y="247650"/>
          <a:ext cx="3810000" cy="6985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Enter the values in the shaded area then use the Run Excel's Solver button. Alternatively, open Solver by going to the Data Tab (Excel 2007, 2010, 2013, 2016) or the Tools menu (Excel 2003, 2011).</a:t>
          </a:r>
        </a:p>
      </xdr:txBody>
    </xdr:sp>
    <xdr:clientData fPrintsWithSheet="0"/>
  </xdr:twoCellAnchor>
  <mc:AlternateContent xmlns:mc="http://schemas.openxmlformats.org/markup-compatibility/2006">
    <mc:Choice xmlns:a14="http://schemas.microsoft.com/office/drawing/2010/main" Requires="a14">
      <xdr:twoCellAnchor>
        <xdr:from>
          <xdr:col>0</xdr:col>
          <xdr:colOff>57150</xdr:colOff>
          <xdr:row>1</xdr:row>
          <xdr:rowOff>0</xdr:rowOff>
        </xdr:from>
        <xdr:to>
          <xdr:col>1</xdr:col>
          <xdr:colOff>504825</xdr:colOff>
          <xdr:row>2</xdr:row>
          <xdr:rowOff>38100</xdr:rowOff>
        </xdr:to>
        <xdr:sp macro="" textlink="">
          <xdr:nvSpPr>
            <xdr:cNvPr id="34819" name="solverButton" hidden="1">
              <a:extLst>
                <a:ext uri="{63B3BB69-23CF-44E3-9099-C40C66FF867C}">
                  <a14:compatExt spid="_x0000_s34819"/>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Run Excel's Solver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571500</xdr:colOff>
          <xdr:row>1</xdr:row>
          <xdr:rowOff>0</xdr:rowOff>
        </xdr:from>
        <xdr:to>
          <xdr:col>4</xdr:col>
          <xdr:colOff>38100</xdr:colOff>
          <xdr:row>2</xdr:row>
          <xdr:rowOff>38100</xdr:rowOff>
        </xdr:to>
        <xdr:sp macro="" textlink="">
          <xdr:nvSpPr>
            <xdr:cNvPr id="34820" name="solverHelpButton" hidden="1">
              <a:extLst>
                <a:ext uri="{63B3BB69-23CF-44E3-9099-C40C66FF867C}">
                  <a14:compatExt spid="_x0000_s34820"/>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AU" sz="1100" b="0" i="0" u="none" strike="noStrike" baseline="0">
                  <a:solidFill>
                    <a:srgbClr val="000000"/>
                  </a:solidFill>
                  <a:latin typeface="Calibri"/>
                </a:rPr>
                <a:t>Solver Help</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254000</xdr:colOff>
      <xdr:row>1</xdr:row>
      <xdr:rowOff>0</xdr:rowOff>
    </xdr:from>
    <xdr:to>
      <xdr:col>3</xdr:col>
      <xdr:colOff>2647950</xdr:colOff>
      <xdr:row>3</xdr:row>
      <xdr:rowOff>0</xdr:rowOff>
    </xdr:to>
    <xdr:sp macro="" textlink="">
      <xdr:nvSpPr>
        <xdr:cNvPr id="2" name="messageTextbox">
          <a:extLst>
            <a:ext uri="{FF2B5EF4-FFF2-40B4-BE49-F238E27FC236}">
              <a16:creationId xmlns:a16="http://schemas.microsoft.com/office/drawing/2014/main" xmlns="" id="{00000000-0008-0000-0900-000002000000}"/>
            </a:ext>
          </a:extLst>
        </xdr:cNvPr>
        <xdr:cNvSpPr txBox="1"/>
      </xdr:nvSpPr>
      <xdr:spPr>
        <a:xfrm>
          <a:off x="254000" y="247650"/>
          <a:ext cx="5080000" cy="3810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The arrival RATE and service RATE both must be rates and use the same time unit. Given a time such as 10 minutes, convert it to a rate such as 6 per hour.</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254000</xdr:colOff>
      <xdr:row>1</xdr:row>
      <xdr:rowOff>0</xdr:rowOff>
    </xdr:from>
    <xdr:to>
      <xdr:col>3</xdr:col>
      <xdr:colOff>2743200</xdr:colOff>
      <xdr:row>2</xdr:row>
      <xdr:rowOff>180975</xdr:rowOff>
    </xdr:to>
    <xdr:sp macro="" textlink="">
      <xdr:nvSpPr>
        <xdr:cNvPr id="2" name="messageTextbox">
          <a:extLst>
            <a:ext uri="{FF2B5EF4-FFF2-40B4-BE49-F238E27FC236}">
              <a16:creationId xmlns:a16="http://schemas.microsoft.com/office/drawing/2014/main" xmlns="" id="{00000000-0008-0000-0A00-000002000000}"/>
            </a:ext>
          </a:extLst>
        </xdr:cNvPr>
        <xdr:cNvSpPr txBox="1"/>
      </xdr:nvSpPr>
      <xdr:spPr>
        <a:xfrm>
          <a:off x="254000" y="247650"/>
          <a:ext cx="5080000" cy="381000"/>
        </a:xfrm>
        <a:prstGeom prst="rect">
          <a:avLst/>
        </a:prstGeom>
        <a:solidFill>
          <a:srgbClr val="FFFFE6"/>
        </a:solidFill>
        <a:ln w="1" cmpd="sng">
          <a:solidFill>
            <a:srgbClr val="000000"/>
          </a:solidFill>
          <a:prstDash val="solid"/>
        </a:ln>
        <a:effectLst>
          <a:outerShdw blurRad="63500" dist="37357" dir="2700000" rotWithShape="0">
            <a:scrgbClr r="0" g="0" b="0"/>
          </a:outerShdw>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lang="en-US" sz="900" b="0" i="0" u="none" strike="noStrike" baseline="0">
              <a:solidFill>
                <a:srgbClr val="9C6500"/>
              </a:solidFill>
              <a:latin typeface="Arial" panose="020B0604020202020204" pitchFamily="34" charset="0"/>
            </a:rPr>
            <a:t>The arrival RATE and service RATE both must be rates and use the same time unit. Given a time such as 10 minutes, convert it to a rate such as 6 per hour.</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Files%20(x86)/Excel%20QM%20v5.2/excelOMQMv5.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ste"/>
      <sheetName val="Todo"/>
      <sheetName val="Mac"/>
      <sheetName val="V3-V4-V5 History"/>
      <sheetName val="v5.2"/>
      <sheetName val="wise vs MSI"/>
      <sheetName val="OnLive"/>
      <sheetName val="MenuSheetv5"/>
      <sheetName val="MenuHR9"/>
      <sheetName val="ReliabilityEraseMe"/>
      <sheetName val="MenuListBox"/>
      <sheetName val="MenuFoster5"/>
      <sheetName val="MenuRSH10"/>
      <sheetName val="MenuRSH11"/>
      <sheetName val="MenuRSH12"/>
      <sheetName val="MenuTaylor10"/>
      <sheetName val="EOQ"/>
      <sheetName val="POQ"/>
      <sheetName val="multiBE"/>
      <sheetName val="ProbDist"/>
      <sheetName val="InvSSNorm"/>
      <sheetName val="WorkMeas"/>
      <sheetName val="Simulation"/>
      <sheetName val="Raw data"/>
      <sheetName val="Frequencies"/>
      <sheetName val="Prob dist"/>
      <sheetName val="Normal"/>
      <sheetName val="Reliability"/>
      <sheetName val="Markov"/>
      <sheetName val="Trans_agg"/>
      <sheetName val="MRPData"/>
      <sheetName val="HJW"/>
      <sheetName val="LP_max"/>
      <sheetName val="LP_min"/>
      <sheetName val="IP_max"/>
      <sheetName val="IP_min"/>
      <sheetName val="HWPert"/>
      <sheetName val="Trans_max"/>
      <sheetName val="Trans_min"/>
      <sheetName val="Assign_min"/>
      <sheetName val="Assign_max"/>
      <sheetName val="Game Theory"/>
      <sheetName val="sqc-1"/>
      <sheetName val="HWShortPath"/>
      <sheetName val="HWMaxFlow"/>
      <sheetName val="Markov chain solver"/>
      <sheetName val="SQC"/>
      <sheetName val="LimitedPop"/>
      <sheetName val="ProjCrashing"/>
      <sheetName val="excelOMQMv5"/>
    </sheetNames>
    <definedNames>
      <definedName name="CallSolver"/>
      <definedName name="maxFlow_solve"/>
      <definedName name="minSpan_solve"/>
      <definedName name="shortPath_solve"/>
      <definedName name="SolverHelp"/>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3.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4.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5.xm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6.xm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bin"/><Relationship Id="rId6" Type="http://schemas.openxmlformats.org/officeDocument/2006/relationships/comments" Target="../comments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1"/>
  <sheetViews>
    <sheetView zoomScaleNormal="100" workbookViewId="0">
      <selection activeCell="I8" sqref="I8"/>
    </sheetView>
  </sheetViews>
  <sheetFormatPr defaultRowHeight="15" x14ac:dyDescent="0.25"/>
  <cols>
    <col min="1" max="1" width="12.7109375" style="4" customWidth="1"/>
    <col min="2" max="9" width="9.140625" style="4"/>
    <col min="10" max="10" width="12.28515625" style="4" customWidth="1"/>
    <col min="11" max="16384" width="9.140625" style="4"/>
  </cols>
  <sheetData>
    <row r="1" spans="1:8" ht="19.5" x14ac:dyDescent="0.3">
      <c r="A1" s="2" t="s">
        <v>42</v>
      </c>
      <c r="B1" s="5"/>
      <c r="C1" s="5"/>
      <c r="D1" s="5" t="s">
        <v>43</v>
      </c>
      <c r="E1" s="5"/>
      <c r="F1" s="5"/>
      <c r="G1" s="5"/>
      <c r="H1" s="5"/>
    </row>
    <row r="2" spans="1:8" x14ac:dyDescent="0.25">
      <c r="A2" s="3"/>
      <c r="B2" s="3"/>
    </row>
    <row r="4" spans="1:8" x14ac:dyDescent="0.25">
      <c r="A4" s="4" t="s">
        <v>45</v>
      </c>
      <c r="B4" s="47">
        <v>1</v>
      </c>
    </row>
    <row r="6" spans="1:8" ht="15.75" thickBot="1" x14ac:dyDescent="0.3">
      <c r="A6" s="6" t="s">
        <v>4</v>
      </c>
      <c r="F6" s="7" t="s">
        <v>5</v>
      </c>
    </row>
    <row r="7" spans="1:8" ht="15.75" thickBot="1" x14ac:dyDescent="0.3">
      <c r="A7" s="8" t="s">
        <v>44</v>
      </c>
      <c r="B7" s="48" t="s">
        <v>45</v>
      </c>
      <c r="C7" s="48" t="s">
        <v>46</v>
      </c>
      <c r="D7" s="49" t="s">
        <v>47</v>
      </c>
      <c r="F7" s="4" t="s">
        <v>48</v>
      </c>
      <c r="G7" s="4" t="s">
        <v>47</v>
      </c>
    </row>
    <row r="8" spans="1:8" x14ac:dyDescent="0.25">
      <c r="A8" s="10" t="s">
        <v>50</v>
      </c>
      <c r="B8" s="47">
        <v>1</v>
      </c>
      <c r="C8" s="47">
        <v>2</v>
      </c>
      <c r="D8" s="11">
        <v>5</v>
      </c>
      <c r="F8" s="17">
        <v>1</v>
      </c>
      <c r="G8" s="20">
        <f>D8*F8</f>
        <v>5</v>
      </c>
    </row>
    <row r="9" spans="1:8" x14ac:dyDescent="0.25">
      <c r="A9" s="10" t="s">
        <v>51</v>
      </c>
      <c r="B9" s="47">
        <v>1</v>
      </c>
      <c r="C9" s="47">
        <v>3</v>
      </c>
      <c r="D9" s="11">
        <v>6</v>
      </c>
      <c r="F9" s="16">
        <v>1</v>
      </c>
      <c r="G9" s="21">
        <f>D9*F9</f>
        <v>6</v>
      </c>
    </row>
    <row r="10" spans="1:8" x14ac:dyDescent="0.25">
      <c r="A10" s="10" t="s">
        <v>52</v>
      </c>
      <c r="B10" s="47">
        <v>1</v>
      </c>
      <c r="C10" s="47">
        <v>4</v>
      </c>
      <c r="D10" s="11">
        <v>6</v>
      </c>
      <c r="F10" s="16">
        <v>1</v>
      </c>
      <c r="G10" s="21">
        <f>D10*F10</f>
        <v>6</v>
      </c>
    </row>
    <row r="11" spans="1:8" x14ac:dyDescent="0.25">
      <c r="A11" s="10" t="s">
        <v>53</v>
      </c>
      <c r="B11" s="47">
        <v>1</v>
      </c>
      <c r="C11" s="47">
        <v>5</v>
      </c>
      <c r="D11" s="11">
        <v>5</v>
      </c>
      <c r="F11" s="16">
        <v>1</v>
      </c>
      <c r="G11" s="21">
        <f>D11*F11</f>
        <v>5</v>
      </c>
    </row>
    <row r="12" spans="1:8" x14ac:dyDescent="0.25">
      <c r="A12" s="10" t="s">
        <v>54</v>
      </c>
      <c r="B12" s="47">
        <v>2</v>
      </c>
      <c r="C12" s="47">
        <v>6</v>
      </c>
      <c r="D12" s="11">
        <v>7</v>
      </c>
      <c r="F12" s="16"/>
      <c r="G12" s="21"/>
    </row>
    <row r="13" spans="1:8" x14ac:dyDescent="0.25">
      <c r="A13" s="10" t="s">
        <v>55</v>
      </c>
      <c r="B13" s="47">
        <v>3</v>
      </c>
      <c r="C13" s="47">
        <v>7</v>
      </c>
      <c r="D13" s="11">
        <v>5</v>
      </c>
      <c r="F13" s="16">
        <v>1</v>
      </c>
      <c r="G13" s="21">
        <f>D13*F13</f>
        <v>5</v>
      </c>
    </row>
    <row r="14" spans="1:8" x14ac:dyDescent="0.25">
      <c r="A14" s="10" t="s">
        <v>56</v>
      </c>
      <c r="B14" s="47">
        <v>4</v>
      </c>
      <c r="C14" s="47">
        <v>7</v>
      </c>
      <c r="D14" s="11">
        <v>7</v>
      </c>
      <c r="F14" s="16"/>
      <c r="G14" s="21"/>
    </row>
    <row r="15" spans="1:8" x14ac:dyDescent="0.25">
      <c r="A15" s="10" t="s">
        <v>57</v>
      </c>
      <c r="B15" s="47">
        <v>5</v>
      </c>
      <c r="C15" s="47">
        <v>8</v>
      </c>
      <c r="D15" s="11">
        <v>4</v>
      </c>
      <c r="F15" s="16">
        <v>1</v>
      </c>
      <c r="G15" s="21">
        <f>D15*F15</f>
        <v>4</v>
      </c>
    </row>
    <row r="16" spans="1:8" x14ac:dyDescent="0.25">
      <c r="A16" s="10" t="s">
        <v>58</v>
      </c>
      <c r="B16" s="47">
        <v>6</v>
      </c>
      <c r="C16" s="47">
        <v>7</v>
      </c>
      <c r="D16" s="11">
        <v>1</v>
      </c>
      <c r="F16" s="16">
        <v>1</v>
      </c>
      <c r="G16" s="21">
        <f>D16*F16</f>
        <v>1</v>
      </c>
    </row>
    <row r="17" spans="1:11" x14ac:dyDescent="0.25">
      <c r="A17" s="10" t="s">
        <v>59</v>
      </c>
      <c r="B17" s="47">
        <v>7</v>
      </c>
      <c r="C17" s="47">
        <v>9</v>
      </c>
      <c r="D17" s="11">
        <v>6</v>
      </c>
      <c r="F17" s="16"/>
      <c r="G17" s="21"/>
    </row>
    <row r="18" spans="1:11" ht="15.75" thickBot="1" x14ac:dyDescent="0.3">
      <c r="A18" s="12" t="s">
        <v>60</v>
      </c>
      <c r="B18" s="50">
        <v>8</v>
      </c>
      <c r="C18" s="50">
        <v>9</v>
      </c>
      <c r="D18" s="13">
        <v>2</v>
      </c>
      <c r="F18" s="16">
        <v>1</v>
      </c>
      <c r="G18" s="21">
        <f>D18*F18</f>
        <v>2</v>
      </c>
    </row>
    <row r="19" spans="1:11" x14ac:dyDescent="0.25">
      <c r="F19" s="16"/>
      <c r="G19" s="21"/>
    </row>
    <row r="20" spans="1:11" ht="15.75" thickBot="1" x14ac:dyDescent="0.3">
      <c r="F20" s="19" t="s">
        <v>49</v>
      </c>
      <c r="G20" s="22">
        <f>SUM(G8:G19)</f>
        <v>34</v>
      </c>
    </row>
    <row r="23" spans="1:11" x14ac:dyDescent="0.25">
      <c r="A23" s="4" t="s">
        <v>61</v>
      </c>
      <c r="F23" s="4" t="s">
        <v>62</v>
      </c>
      <c r="K23" s="4">
        <v>2</v>
      </c>
    </row>
    <row r="24" spans="1:11" x14ac:dyDescent="0.25">
      <c r="A24" s="4" t="s">
        <v>50</v>
      </c>
      <c r="B24" s="4">
        <v>1</v>
      </c>
      <c r="C24" s="4">
        <v>2</v>
      </c>
      <c r="D24" s="4">
        <v>5</v>
      </c>
    </row>
    <row r="25" spans="1:11" x14ac:dyDescent="0.25">
      <c r="A25" s="4" t="s">
        <v>53</v>
      </c>
      <c r="B25" s="4">
        <v>1</v>
      </c>
      <c r="C25" s="4">
        <v>5</v>
      </c>
      <c r="D25" s="4">
        <v>5</v>
      </c>
    </row>
    <row r="26" spans="1:11" x14ac:dyDescent="0.25">
      <c r="A26" s="4" t="s">
        <v>57</v>
      </c>
      <c r="B26" s="4">
        <v>5</v>
      </c>
      <c r="C26" s="4">
        <v>8</v>
      </c>
      <c r="D26" s="4">
        <v>4</v>
      </c>
    </row>
    <row r="27" spans="1:11" x14ac:dyDescent="0.25">
      <c r="A27" s="4" t="s">
        <v>60</v>
      </c>
      <c r="B27" s="4">
        <v>8</v>
      </c>
      <c r="C27" s="4">
        <v>9</v>
      </c>
      <c r="D27" s="4">
        <v>2</v>
      </c>
    </row>
    <row r="28" spans="1:11" x14ac:dyDescent="0.25">
      <c r="A28" s="4" t="s">
        <v>51</v>
      </c>
      <c r="B28" s="4">
        <v>1</v>
      </c>
      <c r="C28" s="4">
        <v>3</v>
      </c>
      <c r="D28" s="4">
        <v>6</v>
      </c>
    </row>
    <row r="29" spans="1:11" x14ac:dyDescent="0.25">
      <c r="A29" s="4" t="s">
        <v>55</v>
      </c>
      <c r="B29" s="4">
        <v>3</v>
      </c>
      <c r="C29" s="4">
        <v>7</v>
      </c>
      <c r="D29" s="4">
        <v>5</v>
      </c>
    </row>
    <row r="30" spans="1:11" x14ac:dyDescent="0.25">
      <c r="A30" s="4" t="s">
        <v>58</v>
      </c>
      <c r="B30" s="4">
        <v>6</v>
      </c>
      <c r="C30" s="4">
        <v>7</v>
      </c>
      <c r="D30" s="4">
        <v>1</v>
      </c>
    </row>
    <row r="31" spans="1:11" x14ac:dyDescent="0.25">
      <c r="A31" s="4" t="s">
        <v>52</v>
      </c>
      <c r="B31" s="4">
        <v>1</v>
      </c>
      <c r="C31" s="4">
        <v>4</v>
      </c>
      <c r="D31" s="4">
        <v>6</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Button 2">
              <controlPr defaultSize="0" print="0" autoFill="0" autoPict="0" macro="[1]!minSpan_solve">
                <anchor moveWithCells="1" sizeWithCells="1">
                  <from>
                    <xdr:col>0</xdr:col>
                    <xdr:colOff>0</xdr:colOff>
                    <xdr:row>1</xdr:row>
                    <xdr:rowOff>95250</xdr:rowOff>
                  </from>
                  <to>
                    <xdr:col>1</xdr:col>
                    <xdr:colOff>0</xdr:colOff>
                    <xdr:row>2</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1"/>
  <sheetViews>
    <sheetView topLeftCell="A6" zoomScaleNormal="100" workbookViewId="0">
      <selection activeCell="B24" sqref="B24"/>
    </sheetView>
  </sheetViews>
  <sheetFormatPr defaultRowHeight="15" x14ac:dyDescent="0.25"/>
  <cols>
    <col min="1" max="1" width="12.7109375" style="4" customWidth="1"/>
    <col min="2" max="16384" width="9.140625" style="4"/>
  </cols>
  <sheetData>
    <row r="1" spans="1:8" ht="19.5" x14ac:dyDescent="0.3">
      <c r="A1" s="2" t="s">
        <v>42</v>
      </c>
      <c r="B1" s="5"/>
      <c r="C1" s="5"/>
      <c r="D1" s="5" t="s">
        <v>43</v>
      </c>
      <c r="E1" s="5"/>
      <c r="F1" s="5"/>
      <c r="G1" s="5"/>
      <c r="H1" s="5"/>
    </row>
    <row r="2" spans="1:8" x14ac:dyDescent="0.25">
      <c r="A2" s="3"/>
      <c r="B2" s="3"/>
    </row>
    <row r="4" spans="1:8" x14ac:dyDescent="0.25">
      <c r="A4" s="4" t="s">
        <v>45</v>
      </c>
      <c r="B4" s="47">
        <v>1</v>
      </c>
    </row>
    <row r="6" spans="1:8" ht="15.75" thickBot="1" x14ac:dyDescent="0.3">
      <c r="A6" s="6" t="s">
        <v>4</v>
      </c>
      <c r="F6" s="7" t="s">
        <v>5</v>
      </c>
    </row>
    <row r="7" spans="1:8" ht="15.75" thickBot="1" x14ac:dyDescent="0.3">
      <c r="A7" s="8" t="s">
        <v>44</v>
      </c>
      <c r="B7" s="48" t="s">
        <v>45</v>
      </c>
      <c r="C7" s="48" t="s">
        <v>46</v>
      </c>
      <c r="D7" s="49" t="s">
        <v>47</v>
      </c>
      <c r="F7" s="4" t="s">
        <v>48</v>
      </c>
      <c r="G7" s="4" t="s">
        <v>47</v>
      </c>
    </row>
    <row r="8" spans="1:8" x14ac:dyDescent="0.25">
      <c r="A8" s="10" t="s">
        <v>50</v>
      </c>
      <c r="B8" s="47">
        <v>1</v>
      </c>
      <c r="C8" s="47">
        <v>2</v>
      </c>
      <c r="D8" s="11">
        <v>5</v>
      </c>
      <c r="F8" s="17">
        <v>1</v>
      </c>
      <c r="G8" s="20">
        <f>D8*F8</f>
        <v>5</v>
      </c>
    </row>
    <row r="9" spans="1:8" x14ac:dyDescent="0.25">
      <c r="A9" s="10" t="s">
        <v>51</v>
      </c>
      <c r="B9" s="47">
        <v>1</v>
      </c>
      <c r="C9" s="47">
        <v>3</v>
      </c>
      <c r="D9" s="11">
        <v>1</v>
      </c>
      <c r="F9" s="16">
        <v>1</v>
      </c>
      <c r="G9" s="21">
        <f>D9*F9</f>
        <v>1</v>
      </c>
    </row>
    <row r="10" spans="1:8" x14ac:dyDescent="0.25">
      <c r="A10" s="10" t="s">
        <v>52</v>
      </c>
      <c r="B10" s="47">
        <v>1</v>
      </c>
      <c r="C10" s="47">
        <v>4</v>
      </c>
      <c r="D10" s="11">
        <v>1</v>
      </c>
      <c r="F10" s="16">
        <v>1</v>
      </c>
      <c r="G10" s="21">
        <f>D10*F10</f>
        <v>1</v>
      </c>
    </row>
    <row r="11" spans="1:8" x14ac:dyDescent="0.25">
      <c r="A11" s="10" t="s">
        <v>53</v>
      </c>
      <c r="B11" s="47">
        <v>1</v>
      </c>
      <c r="C11" s="47">
        <v>5</v>
      </c>
      <c r="D11" s="11">
        <v>1</v>
      </c>
      <c r="F11" s="16">
        <v>1</v>
      </c>
      <c r="G11" s="21">
        <f>D11*F11</f>
        <v>1</v>
      </c>
    </row>
    <row r="12" spans="1:8" x14ac:dyDescent="0.25">
      <c r="A12" s="10" t="s">
        <v>54</v>
      </c>
      <c r="B12" s="47">
        <v>2</v>
      </c>
      <c r="C12" s="47">
        <v>6</v>
      </c>
      <c r="D12" s="11">
        <v>7</v>
      </c>
      <c r="F12" s="16"/>
      <c r="G12" s="21"/>
    </row>
    <row r="13" spans="1:8" x14ac:dyDescent="0.25">
      <c r="A13" s="10" t="s">
        <v>55</v>
      </c>
      <c r="B13" s="47">
        <v>3</v>
      </c>
      <c r="C13" s="47">
        <v>7</v>
      </c>
      <c r="D13" s="11">
        <v>5</v>
      </c>
      <c r="F13" s="16">
        <v>1</v>
      </c>
      <c r="G13" s="21">
        <f>D13*F13</f>
        <v>5</v>
      </c>
    </row>
    <row r="14" spans="1:8" x14ac:dyDescent="0.25">
      <c r="A14" s="10" t="s">
        <v>56</v>
      </c>
      <c r="B14" s="47">
        <v>4</v>
      </c>
      <c r="C14" s="47">
        <v>7</v>
      </c>
      <c r="D14" s="11">
        <v>7</v>
      </c>
      <c r="F14" s="16"/>
      <c r="G14" s="21"/>
    </row>
    <row r="15" spans="1:8" x14ac:dyDescent="0.25">
      <c r="A15" s="10" t="s">
        <v>57</v>
      </c>
      <c r="B15" s="47">
        <v>5</v>
      </c>
      <c r="C15" s="47">
        <v>8</v>
      </c>
      <c r="D15" s="11">
        <v>4</v>
      </c>
      <c r="F15" s="16">
        <v>1</v>
      </c>
      <c r="G15" s="21">
        <f>D15*F15</f>
        <v>4</v>
      </c>
    </row>
    <row r="16" spans="1:8" x14ac:dyDescent="0.25">
      <c r="A16" s="10" t="s">
        <v>58</v>
      </c>
      <c r="B16" s="47">
        <v>6</v>
      </c>
      <c r="C16" s="47">
        <v>7</v>
      </c>
      <c r="D16" s="11">
        <v>1</v>
      </c>
      <c r="F16" s="16">
        <v>1</v>
      </c>
      <c r="G16" s="21">
        <f>D16*F16</f>
        <v>1</v>
      </c>
    </row>
    <row r="17" spans="1:9" x14ac:dyDescent="0.25">
      <c r="A17" s="10" t="s">
        <v>59</v>
      </c>
      <c r="B17" s="47">
        <v>7</v>
      </c>
      <c r="C17" s="47">
        <v>9</v>
      </c>
      <c r="D17" s="11">
        <v>6</v>
      </c>
      <c r="F17" s="16"/>
      <c r="G17" s="21"/>
    </row>
    <row r="18" spans="1:9" ht="15.75" thickBot="1" x14ac:dyDescent="0.3">
      <c r="A18" s="12" t="s">
        <v>60</v>
      </c>
      <c r="B18" s="50">
        <v>8</v>
      </c>
      <c r="C18" s="50">
        <v>9</v>
      </c>
      <c r="D18" s="13">
        <v>2</v>
      </c>
      <c r="F18" s="16">
        <v>1</v>
      </c>
      <c r="G18" s="21">
        <f>D18*F18</f>
        <v>2</v>
      </c>
    </row>
    <row r="19" spans="1:9" x14ac:dyDescent="0.25">
      <c r="F19" s="16"/>
      <c r="G19" s="21"/>
    </row>
    <row r="20" spans="1:9" ht="15.75" thickBot="1" x14ac:dyDescent="0.3">
      <c r="F20" s="19" t="s">
        <v>49</v>
      </c>
      <c r="G20" s="22">
        <f>SUM(G8:G19)</f>
        <v>20</v>
      </c>
    </row>
    <row r="23" spans="1:9" x14ac:dyDescent="0.25">
      <c r="A23" s="4" t="s">
        <v>61</v>
      </c>
      <c r="F23" s="150" t="s">
        <v>63</v>
      </c>
      <c r="G23" s="150"/>
      <c r="H23" s="150"/>
      <c r="I23" s="150"/>
    </row>
    <row r="24" spans="1:9" x14ac:dyDescent="0.25">
      <c r="A24" s="4" t="s">
        <v>51</v>
      </c>
      <c r="B24" s="4">
        <v>1</v>
      </c>
      <c r="C24" s="4">
        <v>3</v>
      </c>
      <c r="D24" s="4">
        <v>1</v>
      </c>
      <c r="F24" s="150"/>
      <c r="G24" s="150"/>
      <c r="H24" s="150"/>
      <c r="I24" s="150"/>
    </row>
    <row r="25" spans="1:9" x14ac:dyDescent="0.25">
      <c r="A25" s="4" t="s">
        <v>52</v>
      </c>
      <c r="B25" s="4">
        <v>1</v>
      </c>
      <c r="C25" s="4">
        <v>4</v>
      </c>
      <c r="D25" s="4">
        <v>1</v>
      </c>
      <c r="F25" s="150"/>
      <c r="G25" s="150"/>
      <c r="H25" s="150"/>
      <c r="I25" s="150"/>
    </row>
    <row r="26" spans="1:9" x14ac:dyDescent="0.25">
      <c r="A26" s="4" t="s">
        <v>53</v>
      </c>
      <c r="B26" s="4">
        <v>1</v>
      </c>
      <c r="C26" s="4">
        <v>5</v>
      </c>
      <c r="D26" s="4">
        <v>1</v>
      </c>
    </row>
    <row r="27" spans="1:9" x14ac:dyDescent="0.25">
      <c r="A27" s="4" t="s">
        <v>57</v>
      </c>
      <c r="B27" s="4">
        <v>5</v>
      </c>
      <c r="C27" s="4">
        <v>8</v>
      </c>
      <c r="D27" s="4">
        <v>4</v>
      </c>
    </row>
    <row r="28" spans="1:9" x14ac:dyDescent="0.25">
      <c r="A28" s="4" t="s">
        <v>60</v>
      </c>
      <c r="B28" s="4">
        <v>8</v>
      </c>
      <c r="C28" s="4">
        <v>9</v>
      </c>
      <c r="D28" s="4">
        <v>2</v>
      </c>
    </row>
    <row r="29" spans="1:9" x14ac:dyDescent="0.25">
      <c r="A29" s="4" t="s">
        <v>50</v>
      </c>
      <c r="B29" s="4">
        <v>1</v>
      </c>
      <c r="C29" s="4">
        <v>2</v>
      </c>
      <c r="D29" s="4">
        <v>5</v>
      </c>
    </row>
    <row r="30" spans="1:9" x14ac:dyDescent="0.25">
      <c r="A30" s="4" t="s">
        <v>55</v>
      </c>
      <c r="B30" s="4">
        <v>3</v>
      </c>
      <c r="C30" s="4">
        <v>7</v>
      </c>
      <c r="D30" s="4">
        <v>5</v>
      </c>
    </row>
    <row r="31" spans="1:9" x14ac:dyDescent="0.25">
      <c r="A31" s="4" t="s">
        <v>58</v>
      </c>
      <c r="B31" s="4">
        <v>6</v>
      </c>
      <c r="C31" s="4">
        <v>7</v>
      </c>
      <c r="D31" s="4">
        <v>1</v>
      </c>
    </row>
  </sheetData>
  <mergeCells count="1">
    <mergeCell ref="F23:I25"/>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6" r:id="rId3" name="Button 2">
              <controlPr defaultSize="0" print="0" autoFill="0" autoPict="0" macro="[1]!minSpan_solve">
                <anchor moveWithCells="1" sizeWithCells="1">
                  <from>
                    <xdr:col>0</xdr:col>
                    <xdr:colOff>0</xdr:colOff>
                    <xdr:row>1</xdr:row>
                    <xdr:rowOff>95250</xdr:rowOff>
                  </from>
                  <to>
                    <xdr:col>1</xdr:col>
                    <xdr:colOff>0</xdr:colOff>
                    <xdr:row>2</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6"/>
  <sheetViews>
    <sheetView topLeftCell="A6" zoomScaleNormal="100" workbookViewId="0">
      <selection activeCell="G21" sqref="G21"/>
    </sheetView>
  </sheetViews>
  <sheetFormatPr defaultRowHeight="15" x14ac:dyDescent="0.25"/>
  <cols>
    <col min="1" max="1" width="12.42578125" style="4" bestFit="1" customWidth="1"/>
    <col min="2" max="16384" width="9.140625" style="4"/>
  </cols>
  <sheetData>
    <row r="1" spans="1:11" ht="19.5" x14ac:dyDescent="0.3">
      <c r="A1" s="2" t="s">
        <v>42</v>
      </c>
      <c r="B1" s="5"/>
      <c r="C1" s="5"/>
      <c r="D1" s="5" t="s">
        <v>65</v>
      </c>
      <c r="E1" s="5"/>
      <c r="F1" s="5"/>
      <c r="G1" s="5"/>
      <c r="H1" s="5"/>
    </row>
    <row r="2" spans="1:11" x14ac:dyDescent="0.25">
      <c r="A2" s="3"/>
      <c r="B2" s="3"/>
    </row>
    <row r="4" spans="1:11" x14ac:dyDescent="0.25">
      <c r="A4" s="4" t="s">
        <v>67</v>
      </c>
      <c r="B4" s="47">
        <v>1</v>
      </c>
    </row>
    <row r="5" spans="1:11" x14ac:dyDescent="0.25">
      <c r="A5" s="4" t="s">
        <v>68</v>
      </c>
      <c r="B5" s="47">
        <v>8</v>
      </c>
    </row>
    <row r="6" spans="1:11" ht="15.75" thickBot="1" x14ac:dyDescent="0.3">
      <c r="A6" s="6" t="s">
        <v>4</v>
      </c>
      <c r="B6" s="4" t="s">
        <v>80</v>
      </c>
    </row>
    <row r="7" spans="1:11" x14ac:dyDescent="0.25">
      <c r="A7" s="8" t="s">
        <v>44</v>
      </c>
      <c r="B7" s="49" t="s">
        <v>45</v>
      </c>
      <c r="C7" s="4" t="s">
        <v>46</v>
      </c>
      <c r="D7" s="4" t="s">
        <v>66</v>
      </c>
    </row>
    <row r="8" spans="1:11" x14ac:dyDescent="0.25">
      <c r="A8" s="10" t="s">
        <v>50</v>
      </c>
      <c r="B8" s="47">
        <v>1</v>
      </c>
      <c r="C8" s="4">
        <v>2</v>
      </c>
      <c r="D8" s="4">
        <v>3</v>
      </c>
    </row>
    <row r="9" spans="1:11" x14ac:dyDescent="0.25">
      <c r="A9" s="10" t="s">
        <v>51</v>
      </c>
      <c r="B9" s="47">
        <v>1</v>
      </c>
      <c r="C9" s="4">
        <v>3</v>
      </c>
      <c r="D9" s="4">
        <v>2</v>
      </c>
      <c r="G9" s="150" t="s">
        <v>81</v>
      </c>
      <c r="H9" s="150"/>
      <c r="I9" s="150"/>
      <c r="J9" s="150"/>
      <c r="K9" s="150"/>
    </row>
    <row r="10" spans="1:11" x14ac:dyDescent="0.25">
      <c r="A10" s="10" t="s">
        <v>52</v>
      </c>
      <c r="B10" s="47">
        <v>2</v>
      </c>
      <c r="C10" s="4">
        <v>4</v>
      </c>
      <c r="D10" s="4">
        <v>3</v>
      </c>
      <c r="G10" s="150"/>
      <c r="H10" s="150"/>
      <c r="I10" s="150"/>
      <c r="J10" s="150"/>
      <c r="K10" s="150"/>
    </row>
    <row r="11" spans="1:11" x14ac:dyDescent="0.25">
      <c r="A11" s="10" t="s">
        <v>53</v>
      </c>
      <c r="B11" s="47">
        <v>3</v>
      </c>
      <c r="C11" s="60">
        <v>5</v>
      </c>
      <c r="D11" s="4">
        <v>3</v>
      </c>
      <c r="G11" s="150"/>
      <c r="H11" s="150"/>
      <c r="I11" s="150"/>
      <c r="J11" s="150"/>
      <c r="K11" s="150"/>
    </row>
    <row r="12" spans="1:11" x14ac:dyDescent="0.25">
      <c r="A12" s="10" t="s">
        <v>54</v>
      </c>
      <c r="B12" s="47">
        <v>4</v>
      </c>
      <c r="C12" s="60">
        <v>5</v>
      </c>
      <c r="D12" s="4">
        <v>1</v>
      </c>
      <c r="G12" s="150"/>
      <c r="H12" s="150"/>
      <c r="I12" s="150"/>
      <c r="J12" s="150"/>
      <c r="K12" s="150"/>
    </row>
    <row r="13" spans="1:11" x14ac:dyDescent="0.25">
      <c r="A13" s="10" t="s">
        <v>55</v>
      </c>
      <c r="B13" s="47">
        <v>4</v>
      </c>
      <c r="C13" s="60">
        <v>6</v>
      </c>
      <c r="D13" s="4">
        <v>4</v>
      </c>
    </row>
    <row r="14" spans="1:11" x14ac:dyDescent="0.25">
      <c r="A14" s="10" t="s">
        <v>56</v>
      </c>
      <c r="B14" s="47">
        <v>5</v>
      </c>
      <c r="C14" s="60">
        <v>7</v>
      </c>
      <c r="D14" s="4">
        <v>2</v>
      </c>
    </row>
    <row r="15" spans="1:11" x14ac:dyDescent="0.25">
      <c r="A15" s="10" t="s">
        <v>57</v>
      </c>
      <c r="B15" s="47">
        <v>6</v>
      </c>
      <c r="C15" s="60">
        <v>7</v>
      </c>
      <c r="D15" s="4">
        <v>2</v>
      </c>
    </row>
    <row r="16" spans="1:11" x14ac:dyDescent="0.25">
      <c r="A16" s="10" t="s">
        <v>58</v>
      </c>
      <c r="B16" s="47">
        <v>6</v>
      </c>
      <c r="C16" s="60">
        <v>8</v>
      </c>
      <c r="D16" s="4">
        <v>3</v>
      </c>
    </row>
    <row r="17" spans="1:9" ht="15.75" thickBot="1" x14ac:dyDescent="0.3">
      <c r="A17" s="12" t="s">
        <v>59</v>
      </c>
      <c r="B17" s="47">
        <v>7</v>
      </c>
      <c r="C17" s="60">
        <v>8</v>
      </c>
      <c r="D17" s="4">
        <v>6</v>
      </c>
    </row>
    <row r="20" spans="1:9" x14ac:dyDescent="0.25">
      <c r="A20" s="4" t="s">
        <v>5</v>
      </c>
    </row>
    <row r="21" spans="1:9" ht="15.75" thickBot="1" x14ac:dyDescent="0.3">
      <c r="A21" s="4" t="s">
        <v>69</v>
      </c>
      <c r="B21" s="4" t="s">
        <v>45</v>
      </c>
      <c r="C21" s="4" t="s">
        <v>46</v>
      </c>
      <c r="D21" s="4" t="s">
        <v>47</v>
      </c>
      <c r="E21" s="4" t="s">
        <v>70</v>
      </c>
    </row>
    <row r="22" spans="1:9" x14ac:dyDescent="0.25">
      <c r="A22" s="17">
        <v>2</v>
      </c>
      <c r="B22" s="18">
        <v>1</v>
      </c>
      <c r="C22" s="18">
        <v>3</v>
      </c>
      <c r="D22" s="18">
        <v>2</v>
      </c>
      <c r="E22" s="20">
        <v>2</v>
      </c>
    </row>
    <row r="23" spans="1:9" x14ac:dyDescent="0.25">
      <c r="A23" s="16">
        <v>4</v>
      </c>
      <c r="B23" s="51">
        <v>3</v>
      </c>
      <c r="C23" s="51">
        <v>5</v>
      </c>
      <c r="D23" s="51">
        <v>3</v>
      </c>
      <c r="E23" s="21">
        <v>5</v>
      </c>
    </row>
    <row r="24" spans="1:9" x14ac:dyDescent="0.25">
      <c r="A24" s="16">
        <v>7</v>
      </c>
      <c r="B24" s="51">
        <v>5</v>
      </c>
      <c r="C24" s="51">
        <v>7</v>
      </c>
      <c r="D24" s="51">
        <v>2</v>
      </c>
      <c r="E24" s="21">
        <v>7</v>
      </c>
    </row>
    <row r="25" spans="1:9" x14ac:dyDescent="0.25">
      <c r="A25" s="16">
        <v>8</v>
      </c>
      <c r="B25" s="51">
        <v>7</v>
      </c>
      <c r="C25" s="51">
        <v>6</v>
      </c>
      <c r="D25" s="51">
        <v>2</v>
      </c>
      <c r="E25" s="21">
        <v>9</v>
      </c>
    </row>
    <row r="26" spans="1:9" ht="15.75" thickBot="1" x14ac:dyDescent="0.3">
      <c r="A26" s="19">
        <v>9</v>
      </c>
      <c r="B26" s="62">
        <v>6</v>
      </c>
      <c r="C26" s="62">
        <v>8</v>
      </c>
      <c r="D26" s="62">
        <v>3</v>
      </c>
      <c r="E26" s="22">
        <v>12</v>
      </c>
    </row>
    <row r="28" spans="1:9" ht="15.75" thickBot="1" x14ac:dyDescent="0.3">
      <c r="A28" s="4" t="s">
        <v>71</v>
      </c>
      <c r="B28" s="4" t="s">
        <v>72</v>
      </c>
      <c r="C28" s="4" t="s">
        <v>73</v>
      </c>
      <c r="D28" s="4" t="s">
        <v>74</v>
      </c>
      <c r="E28" s="4" t="s">
        <v>75</v>
      </c>
      <c r="F28" s="4" t="s">
        <v>76</v>
      </c>
      <c r="G28" s="4" t="s">
        <v>77</v>
      </c>
      <c r="H28" s="4" t="s">
        <v>78</v>
      </c>
      <c r="I28" s="4" t="s">
        <v>79</v>
      </c>
    </row>
    <row r="29" spans="1:9" x14ac:dyDescent="0.25">
      <c r="A29" s="17" t="s">
        <v>72</v>
      </c>
      <c r="B29" s="18">
        <v>0</v>
      </c>
      <c r="C29" s="18">
        <v>3</v>
      </c>
      <c r="D29" s="18">
        <v>2</v>
      </c>
      <c r="E29" s="18">
        <v>6</v>
      </c>
      <c r="F29" s="18">
        <v>5</v>
      </c>
      <c r="G29" s="18">
        <v>9</v>
      </c>
      <c r="H29" s="18">
        <v>7</v>
      </c>
      <c r="I29" s="20">
        <v>12</v>
      </c>
    </row>
    <row r="30" spans="1:9" x14ac:dyDescent="0.25">
      <c r="A30" s="16" t="s">
        <v>73</v>
      </c>
      <c r="B30" s="51">
        <v>3</v>
      </c>
      <c r="C30" s="51">
        <v>0</v>
      </c>
      <c r="D30" s="51">
        <v>5</v>
      </c>
      <c r="E30" s="51">
        <v>3</v>
      </c>
      <c r="F30" s="51">
        <v>4</v>
      </c>
      <c r="G30" s="51">
        <v>7</v>
      </c>
      <c r="H30" s="51">
        <v>6</v>
      </c>
      <c r="I30" s="21">
        <v>10</v>
      </c>
    </row>
    <row r="31" spans="1:9" x14ac:dyDescent="0.25">
      <c r="A31" s="16" t="s">
        <v>74</v>
      </c>
      <c r="B31" s="51">
        <v>2</v>
      </c>
      <c r="C31" s="51">
        <v>5</v>
      </c>
      <c r="D31" s="51">
        <v>0</v>
      </c>
      <c r="E31" s="51">
        <v>4</v>
      </c>
      <c r="F31" s="51">
        <v>3</v>
      </c>
      <c r="G31" s="51">
        <v>7</v>
      </c>
      <c r="H31" s="51">
        <v>5</v>
      </c>
      <c r="I31" s="21">
        <v>10</v>
      </c>
    </row>
    <row r="32" spans="1:9" x14ac:dyDescent="0.25">
      <c r="A32" s="16" t="s">
        <v>75</v>
      </c>
      <c r="B32" s="51">
        <v>6</v>
      </c>
      <c r="C32" s="51">
        <v>3</v>
      </c>
      <c r="D32" s="51">
        <v>4</v>
      </c>
      <c r="E32" s="51">
        <v>0</v>
      </c>
      <c r="F32" s="51">
        <v>1</v>
      </c>
      <c r="G32" s="51">
        <v>4</v>
      </c>
      <c r="H32" s="51">
        <v>3</v>
      </c>
      <c r="I32" s="21">
        <v>7</v>
      </c>
    </row>
    <row r="33" spans="1:9" x14ac:dyDescent="0.25">
      <c r="A33" s="16" t="s">
        <v>76</v>
      </c>
      <c r="B33" s="51">
        <v>5</v>
      </c>
      <c r="C33" s="51">
        <v>4</v>
      </c>
      <c r="D33" s="51">
        <v>3</v>
      </c>
      <c r="E33" s="51">
        <v>1</v>
      </c>
      <c r="F33" s="51">
        <v>0</v>
      </c>
      <c r="G33" s="51">
        <v>4</v>
      </c>
      <c r="H33" s="51">
        <v>2</v>
      </c>
      <c r="I33" s="21">
        <v>7</v>
      </c>
    </row>
    <row r="34" spans="1:9" x14ac:dyDescent="0.25">
      <c r="A34" s="16" t="s">
        <v>77</v>
      </c>
      <c r="B34" s="51">
        <v>9</v>
      </c>
      <c r="C34" s="51">
        <v>7</v>
      </c>
      <c r="D34" s="51">
        <v>7</v>
      </c>
      <c r="E34" s="51">
        <v>4</v>
      </c>
      <c r="F34" s="51">
        <v>4</v>
      </c>
      <c r="G34" s="51">
        <v>0</v>
      </c>
      <c r="H34" s="51">
        <v>2</v>
      </c>
      <c r="I34" s="21">
        <v>3</v>
      </c>
    </row>
    <row r="35" spans="1:9" x14ac:dyDescent="0.25">
      <c r="A35" s="16" t="s">
        <v>78</v>
      </c>
      <c r="B35" s="51">
        <v>7</v>
      </c>
      <c r="C35" s="51">
        <v>6</v>
      </c>
      <c r="D35" s="51">
        <v>5</v>
      </c>
      <c r="E35" s="51">
        <v>3</v>
      </c>
      <c r="F35" s="51">
        <v>2</v>
      </c>
      <c r="G35" s="51">
        <v>2</v>
      </c>
      <c r="H35" s="51">
        <v>0</v>
      </c>
      <c r="I35" s="21">
        <v>5</v>
      </c>
    </row>
    <row r="36" spans="1:9" ht="15.75" thickBot="1" x14ac:dyDescent="0.3">
      <c r="A36" s="19" t="s">
        <v>79</v>
      </c>
      <c r="B36" s="62">
        <v>12</v>
      </c>
      <c r="C36" s="62">
        <v>10</v>
      </c>
      <c r="D36" s="62">
        <v>10</v>
      </c>
      <c r="E36" s="62">
        <v>7</v>
      </c>
      <c r="F36" s="62">
        <v>7</v>
      </c>
      <c r="G36" s="62">
        <v>3</v>
      </c>
      <c r="H36" s="62">
        <v>5</v>
      </c>
      <c r="I36" s="22">
        <v>0</v>
      </c>
    </row>
  </sheetData>
  <mergeCells count="1">
    <mergeCell ref="G9:K12"/>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3314" r:id="rId3" name="Button 2">
              <controlPr defaultSize="0" print="0" autoFill="0" autoPict="0" macro="[1]!shortPath_solve">
                <anchor moveWithCells="1" sizeWithCells="1">
                  <from>
                    <xdr:col>0</xdr:col>
                    <xdr:colOff>0</xdr:colOff>
                    <xdr:row>1</xdr:row>
                    <xdr:rowOff>95250</xdr:rowOff>
                  </from>
                  <to>
                    <xdr:col>1</xdr:col>
                    <xdr:colOff>0</xdr:colOff>
                    <xdr:row>2</xdr:row>
                    <xdr:rowOff>104775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6"/>
  <sheetViews>
    <sheetView topLeftCell="A5" zoomScaleNormal="100" workbookViewId="0">
      <selection activeCell="G9" sqref="G9:K13"/>
    </sheetView>
  </sheetViews>
  <sheetFormatPr defaultRowHeight="15" x14ac:dyDescent="0.25"/>
  <cols>
    <col min="1" max="1" width="12.42578125" style="4" bestFit="1" customWidth="1"/>
    <col min="2" max="16384" width="9.140625" style="4"/>
  </cols>
  <sheetData>
    <row r="1" spans="1:11" ht="19.5" x14ac:dyDescent="0.3">
      <c r="A1" s="2" t="s">
        <v>42</v>
      </c>
      <c r="B1" s="5"/>
      <c r="C1" s="5"/>
      <c r="D1" s="5" t="s">
        <v>65</v>
      </c>
      <c r="E1" s="5"/>
      <c r="F1" s="5"/>
      <c r="G1" s="5"/>
      <c r="H1" s="5"/>
    </row>
    <row r="2" spans="1:11" x14ac:dyDescent="0.25">
      <c r="A2" s="3"/>
      <c r="B2" s="3"/>
    </row>
    <row r="4" spans="1:11" x14ac:dyDescent="0.25">
      <c r="A4" s="4" t="s">
        <v>67</v>
      </c>
      <c r="B4" s="47">
        <v>1</v>
      </c>
    </row>
    <row r="5" spans="1:11" x14ac:dyDescent="0.25">
      <c r="A5" s="4" t="s">
        <v>68</v>
      </c>
      <c r="B5" s="47">
        <v>8</v>
      </c>
    </row>
    <row r="6" spans="1:11" ht="15.75" thickBot="1" x14ac:dyDescent="0.3">
      <c r="A6" s="6" t="s">
        <v>4</v>
      </c>
      <c r="B6" s="4" t="s">
        <v>80</v>
      </c>
    </row>
    <row r="7" spans="1:11" x14ac:dyDescent="0.25">
      <c r="A7" s="8" t="s">
        <v>44</v>
      </c>
      <c r="B7" s="49" t="s">
        <v>45</v>
      </c>
      <c r="C7" s="4" t="s">
        <v>46</v>
      </c>
      <c r="D7" s="4" t="s">
        <v>66</v>
      </c>
    </row>
    <row r="8" spans="1:11" x14ac:dyDescent="0.25">
      <c r="A8" s="10" t="s">
        <v>50</v>
      </c>
      <c r="B8" s="47">
        <v>1</v>
      </c>
      <c r="C8" s="4">
        <v>2</v>
      </c>
      <c r="D8" s="4">
        <v>3</v>
      </c>
    </row>
    <row r="9" spans="1:11" x14ac:dyDescent="0.25">
      <c r="A9" s="10" t="s">
        <v>51</v>
      </c>
      <c r="B9" s="47">
        <v>1</v>
      </c>
      <c r="C9" s="4">
        <v>3</v>
      </c>
      <c r="D9" s="4">
        <v>2</v>
      </c>
      <c r="G9" s="150" t="s">
        <v>82</v>
      </c>
      <c r="H9" s="150"/>
      <c r="I9" s="150"/>
      <c r="J9" s="150"/>
      <c r="K9" s="150"/>
    </row>
    <row r="10" spans="1:11" x14ac:dyDescent="0.25">
      <c r="A10" s="10" t="s">
        <v>52</v>
      </c>
      <c r="B10" s="47">
        <v>2</v>
      </c>
      <c r="C10" s="4">
        <v>4</v>
      </c>
      <c r="D10" s="4">
        <v>3</v>
      </c>
      <c r="G10" s="150"/>
      <c r="H10" s="150"/>
      <c r="I10" s="150"/>
      <c r="J10" s="150"/>
      <c r="K10" s="150"/>
    </row>
    <row r="11" spans="1:11" x14ac:dyDescent="0.25">
      <c r="A11" s="10" t="s">
        <v>53</v>
      </c>
      <c r="B11" s="47">
        <v>3</v>
      </c>
      <c r="C11" s="60">
        <v>5</v>
      </c>
      <c r="D11" s="4">
        <v>1</v>
      </c>
      <c r="G11" s="150"/>
      <c r="H11" s="150"/>
      <c r="I11" s="150"/>
      <c r="J11" s="150"/>
      <c r="K11" s="150"/>
    </row>
    <row r="12" spans="1:11" x14ac:dyDescent="0.25">
      <c r="A12" s="10" t="s">
        <v>54</v>
      </c>
      <c r="B12" s="47">
        <v>4</v>
      </c>
      <c r="C12" s="60">
        <v>5</v>
      </c>
      <c r="D12" s="4">
        <v>1</v>
      </c>
      <c r="G12" s="150"/>
      <c r="H12" s="150"/>
      <c r="I12" s="150"/>
      <c r="J12" s="150"/>
      <c r="K12" s="150"/>
    </row>
    <row r="13" spans="1:11" x14ac:dyDescent="0.25">
      <c r="A13" s="10" t="s">
        <v>55</v>
      </c>
      <c r="B13" s="47">
        <v>4</v>
      </c>
      <c r="C13" s="60">
        <v>6</v>
      </c>
      <c r="D13" s="4">
        <v>4</v>
      </c>
      <c r="G13" s="150"/>
      <c r="H13" s="150"/>
      <c r="I13" s="150"/>
      <c r="J13" s="150"/>
      <c r="K13" s="150"/>
    </row>
    <row r="14" spans="1:11" x14ac:dyDescent="0.25">
      <c r="A14" s="10" t="s">
        <v>56</v>
      </c>
      <c r="B14" s="47">
        <v>5</v>
      </c>
      <c r="C14" s="60">
        <v>7</v>
      </c>
      <c r="D14" s="4">
        <v>2</v>
      </c>
    </row>
    <row r="15" spans="1:11" x14ac:dyDescent="0.25">
      <c r="A15" s="10" t="s">
        <v>57</v>
      </c>
      <c r="B15" s="47">
        <v>6</v>
      </c>
      <c r="C15" s="60">
        <v>7</v>
      </c>
      <c r="D15" s="4">
        <v>2</v>
      </c>
    </row>
    <row r="16" spans="1:11" x14ac:dyDescent="0.25">
      <c r="A16" s="10" t="s">
        <v>58</v>
      </c>
      <c r="B16" s="47">
        <v>6</v>
      </c>
      <c r="C16" s="60">
        <v>8</v>
      </c>
      <c r="D16" s="4">
        <v>3</v>
      </c>
    </row>
    <row r="17" spans="1:9" ht="15.75" thickBot="1" x14ac:dyDescent="0.3">
      <c r="A17" s="12" t="s">
        <v>59</v>
      </c>
      <c r="B17" s="47">
        <v>7</v>
      </c>
      <c r="C17" s="60">
        <v>8</v>
      </c>
      <c r="D17" s="4">
        <v>6</v>
      </c>
    </row>
    <row r="20" spans="1:9" x14ac:dyDescent="0.25">
      <c r="A20" s="4" t="s">
        <v>5</v>
      </c>
    </row>
    <row r="21" spans="1:9" ht="15.75" thickBot="1" x14ac:dyDescent="0.3">
      <c r="A21" s="4" t="s">
        <v>69</v>
      </c>
      <c r="B21" s="4" t="s">
        <v>45</v>
      </c>
      <c r="C21" s="4" t="s">
        <v>46</v>
      </c>
      <c r="D21" s="4" t="s">
        <v>47</v>
      </c>
      <c r="E21" s="4" t="s">
        <v>70</v>
      </c>
    </row>
    <row r="22" spans="1:9" x14ac:dyDescent="0.25">
      <c r="A22" s="17">
        <v>2</v>
      </c>
      <c r="B22" s="18">
        <v>1</v>
      </c>
      <c r="C22" s="18">
        <v>3</v>
      </c>
      <c r="D22" s="18">
        <v>2</v>
      </c>
      <c r="E22" s="20">
        <v>2</v>
      </c>
    </row>
    <row r="23" spans="1:9" x14ac:dyDescent="0.25">
      <c r="A23" s="16">
        <v>4</v>
      </c>
      <c r="B23" s="51">
        <v>3</v>
      </c>
      <c r="C23" s="51">
        <v>5</v>
      </c>
      <c r="D23" s="51">
        <v>1</v>
      </c>
      <c r="E23" s="21">
        <v>3</v>
      </c>
    </row>
    <row r="24" spans="1:9" x14ac:dyDescent="0.25">
      <c r="A24" s="16">
        <v>7</v>
      </c>
      <c r="B24" s="51">
        <v>5</v>
      </c>
      <c r="C24" s="51">
        <v>7</v>
      </c>
      <c r="D24" s="51">
        <v>2</v>
      </c>
      <c r="E24" s="21">
        <v>5</v>
      </c>
    </row>
    <row r="25" spans="1:9" x14ac:dyDescent="0.25">
      <c r="A25" s="16">
        <v>8</v>
      </c>
      <c r="B25" s="51">
        <v>7</v>
      </c>
      <c r="C25" s="51">
        <v>6</v>
      </c>
      <c r="D25" s="51">
        <v>2</v>
      </c>
      <c r="E25" s="21">
        <v>7</v>
      </c>
    </row>
    <row r="26" spans="1:9" ht="15.75" thickBot="1" x14ac:dyDescent="0.3">
      <c r="A26" s="19">
        <v>9</v>
      </c>
      <c r="B26" s="62">
        <v>6</v>
      </c>
      <c r="C26" s="62">
        <v>8</v>
      </c>
      <c r="D26" s="62">
        <v>3</v>
      </c>
      <c r="E26" s="22">
        <v>10</v>
      </c>
    </row>
    <row r="28" spans="1:9" ht="15.75" thickBot="1" x14ac:dyDescent="0.3">
      <c r="A28" s="4" t="s">
        <v>71</v>
      </c>
      <c r="B28" s="4" t="s">
        <v>72</v>
      </c>
      <c r="C28" s="4" t="s">
        <v>73</v>
      </c>
      <c r="D28" s="4" t="s">
        <v>74</v>
      </c>
      <c r="E28" s="4" t="s">
        <v>75</v>
      </c>
      <c r="F28" s="4" t="s">
        <v>76</v>
      </c>
      <c r="G28" s="4" t="s">
        <v>77</v>
      </c>
      <c r="H28" s="4" t="s">
        <v>78</v>
      </c>
      <c r="I28" s="4" t="s">
        <v>79</v>
      </c>
    </row>
    <row r="29" spans="1:9" x14ac:dyDescent="0.25">
      <c r="A29" s="17" t="s">
        <v>72</v>
      </c>
      <c r="B29" s="18">
        <v>0</v>
      </c>
      <c r="C29" s="18">
        <v>3</v>
      </c>
      <c r="D29" s="18">
        <v>2</v>
      </c>
      <c r="E29" s="18">
        <v>4</v>
      </c>
      <c r="F29" s="18">
        <v>3</v>
      </c>
      <c r="G29" s="18">
        <v>7</v>
      </c>
      <c r="H29" s="18">
        <v>5</v>
      </c>
      <c r="I29" s="20">
        <v>10</v>
      </c>
    </row>
    <row r="30" spans="1:9" x14ac:dyDescent="0.25">
      <c r="A30" s="16" t="s">
        <v>73</v>
      </c>
      <c r="B30" s="51">
        <v>3</v>
      </c>
      <c r="C30" s="51">
        <v>0</v>
      </c>
      <c r="D30" s="51">
        <v>5</v>
      </c>
      <c r="E30" s="51">
        <v>3</v>
      </c>
      <c r="F30" s="51">
        <v>4</v>
      </c>
      <c r="G30" s="51">
        <v>7</v>
      </c>
      <c r="H30" s="51">
        <v>6</v>
      </c>
      <c r="I30" s="21">
        <v>10</v>
      </c>
    </row>
    <row r="31" spans="1:9" x14ac:dyDescent="0.25">
      <c r="A31" s="16" t="s">
        <v>74</v>
      </c>
      <c r="B31" s="51">
        <v>2</v>
      </c>
      <c r="C31" s="51">
        <v>5</v>
      </c>
      <c r="D31" s="51">
        <v>0</v>
      </c>
      <c r="E31" s="51">
        <v>2</v>
      </c>
      <c r="F31" s="51">
        <v>1</v>
      </c>
      <c r="G31" s="51">
        <v>5</v>
      </c>
      <c r="H31" s="51">
        <v>3</v>
      </c>
      <c r="I31" s="21">
        <v>8</v>
      </c>
    </row>
    <row r="32" spans="1:9" x14ac:dyDescent="0.25">
      <c r="A32" s="16" t="s">
        <v>75</v>
      </c>
      <c r="B32" s="51">
        <v>4</v>
      </c>
      <c r="C32" s="51">
        <v>3</v>
      </c>
      <c r="D32" s="51">
        <v>2</v>
      </c>
      <c r="E32" s="51">
        <v>0</v>
      </c>
      <c r="F32" s="51">
        <v>1</v>
      </c>
      <c r="G32" s="51">
        <v>4</v>
      </c>
      <c r="H32" s="51">
        <v>3</v>
      </c>
      <c r="I32" s="21">
        <v>7</v>
      </c>
    </row>
    <row r="33" spans="1:9" x14ac:dyDescent="0.25">
      <c r="A33" s="16" t="s">
        <v>76</v>
      </c>
      <c r="B33" s="51">
        <v>3</v>
      </c>
      <c r="C33" s="51">
        <v>4</v>
      </c>
      <c r="D33" s="51">
        <v>1</v>
      </c>
      <c r="E33" s="51">
        <v>1</v>
      </c>
      <c r="F33" s="51">
        <v>0</v>
      </c>
      <c r="G33" s="51">
        <v>4</v>
      </c>
      <c r="H33" s="51">
        <v>2</v>
      </c>
      <c r="I33" s="21">
        <v>7</v>
      </c>
    </row>
    <row r="34" spans="1:9" x14ac:dyDescent="0.25">
      <c r="A34" s="16" t="s">
        <v>77</v>
      </c>
      <c r="B34" s="51">
        <v>7</v>
      </c>
      <c r="C34" s="51">
        <v>7</v>
      </c>
      <c r="D34" s="51">
        <v>5</v>
      </c>
      <c r="E34" s="51">
        <v>4</v>
      </c>
      <c r="F34" s="51">
        <v>4</v>
      </c>
      <c r="G34" s="51">
        <v>0</v>
      </c>
      <c r="H34" s="51">
        <v>2</v>
      </c>
      <c r="I34" s="21">
        <v>3</v>
      </c>
    </row>
    <row r="35" spans="1:9" x14ac:dyDescent="0.25">
      <c r="A35" s="16" t="s">
        <v>78</v>
      </c>
      <c r="B35" s="51">
        <v>5</v>
      </c>
      <c r="C35" s="51">
        <v>6</v>
      </c>
      <c r="D35" s="51">
        <v>3</v>
      </c>
      <c r="E35" s="51">
        <v>3</v>
      </c>
      <c r="F35" s="51">
        <v>2</v>
      </c>
      <c r="G35" s="51">
        <v>2</v>
      </c>
      <c r="H35" s="51">
        <v>0</v>
      </c>
      <c r="I35" s="21">
        <v>5</v>
      </c>
    </row>
    <row r="36" spans="1:9" ht="15.75" thickBot="1" x14ac:dyDescent="0.3">
      <c r="A36" s="19" t="s">
        <v>79</v>
      </c>
      <c r="B36" s="62">
        <v>10</v>
      </c>
      <c r="C36" s="62">
        <v>10</v>
      </c>
      <c r="D36" s="62">
        <v>8</v>
      </c>
      <c r="E36" s="62">
        <v>7</v>
      </c>
      <c r="F36" s="62">
        <v>7</v>
      </c>
      <c r="G36" s="62">
        <v>3</v>
      </c>
      <c r="H36" s="62">
        <v>5</v>
      </c>
      <c r="I36" s="22">
        <v>0</v>
      </c>
    </row>
  </sheetData>
  <mergeCells count="1">
    <mergeCell ref="G9:K13"/>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6" r:id="rId3" name="Button 2">
              <controlPr defaultSize="0" print="0" autoFill="0" autoPict="0" macro="[1]!shortPath_solve">
                <anchor moveWithCells="1" sizeWithCells="1">
                  <from>
                    <xdr:col>0</xdr:col>
                    <xdr:colOff>0</xdr:colOff>
                    <xdr:row>1</xdr:row>
                    <xdr:rowOff>95250</xdr:rowOff>
                  </from>
                  <to>
                    <xdr:col>1</xdr:col>
                    <xdr:colOff>0</xdr:colOff>
                    <xdr:row>2</xdr:row>
                    <xdr:rowOff>104775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3"/>
  <sheetViews>
    <sheetView zoomScaleNormal="100" workbookViewId="0">
      <selection activeCell="B8" sqref="B8:G17"/>
    </sheetView>
  </sheetViews>
  <sheetFormatPr defaultRowHeight="15" x14ac:dyDescent="0.25"/>
  <cols>
    <col min="1" max="1" width="12.7109375" style="4" customWidth="1"/>
    <col min="2" max="16384" width="9.140625" style="4"/>
  </cols>
  <sheetData>
    <row r="1" spans="1:8" ht="19.5" x14ac:dyDescent="0.3">
      <c r="A1" s="2" t="s">
        <v>42</v>
      </c>
      <c r="B1" s="5"/>
      <c r="C1" s="5"/>
      <c r="D1" s="5" t="s">
        <v>83</v>
      </c>
      <c r="E1" s="5"/>
      <c r="F1" s="5"/>
      <c r="G1" s="5"/>
      <c r="H1" s="5"/>
    </row>
    <row r="2" spans="1:8" x14ac:dyDescent="0.25">
      <c r="A2" s="3"/>
      <c r="B2" s="3"/>
    </row>
    <row r="4" spans="1:8" x14ac:dyDescent="0.25">
      <c r="A4" s="4" t="s">
        <v>85</v>
      </c>
      <c r="B4" s="47">
        <v>1</v>
      </c>
    </row>
    <row r="5" spans="1:8" x14ac:dyDescent="0.25">
      <c r="A5" s="4" t="s">
        <v>86</v>
      </c>
      <c r="B5" s="47"/>
    </row>
    <row r="6" spans="1:8" ht="15.75" thickBot="1" x14ac:dyDescent="0.3">
      <c r="A6" s="6" t="s">
        <v>4</v>
      </c>
      <c r="G6" s="7" t="s">
        <v>5</v>
      </c>
    </row>
    <row r="7" spans="1:8" ht="15.75" thickBot="1" x14ac:dyDescent="0.3">
      <c r="A7" s="8" t="s">
        <v>44</v>
      </c>
      <c r="B7" s="48" t="s">
        <v>45</v>
      </c>
      <c r="C7" s="49" t="s">
        <v>46</v>
      </c>
      <c r="D7" s="4" t="s">
        <v>64</v>
      </c>
      <c r="E7" s="4" t="s">
        <v>84</v>
      </c>
      <c r="G7" s="4" t="s">
        <v>87</v>
      </c>
    </row>
    <row r="8" spans="1:8" x14ac:dyDescent="0.25">
      <c r="A8" s="10" t="s">
        <v>50</v>
      </c>
      <c r="B8" s="47">
        <v>1</v>
      </c>
      <c r="C8" s="11">
        <v>2</v>
      </c>
      <c r="D8" s="4">
        <v>10</v>
      </c>
      <c r="E8" s="4">
        <v>4</v>
      </c>
      <c r="F8" s="60"/>
      <c r="G8" s="63">
        <v>10</v>
      </c>
    </row>
    <row r="9" spans="1:8" x14ac:dyDescent="0.25">
      <c r="A9" s="10" t="s">
        <v>51</v>
      </c>
      <c r="B9" s="47">
        <v>1</v>
      </c>
      <c r="C9" s="11">
        <v>3</v>
      </c>
      <c r="D9" s="4">
        <v>8</v>
      </c>
      <c r="E9" s="4">
        <v>2</v>
      </c>
      <c r="F9" s="60"/>
      <c r="G9" s="64">
        <v>5</v>
      </c>
    </row>
    <row r="10" spans="1:8" x14ac:dyDescent="0.25">
      <c r="A10" s="10" t="s">
        <v>52</v>
      </c>
      <c r="B10" s="47">
        <v>2</v>
      </c>
      <c r="C10" s="11">
        <v>4</v>
      </c>
      <c r="D10" s="4">
        <v>12</v>
      </c>
      <c r="E10" s="4">
        <v>1</v>
      </c>
      <c r="G10" s="64">
        <v>10</v>
      </c>
    </row>
    <row r="11" spans="1:8" x14ac:dyDescent="0.25">
      <c r="A11" s="10" t="s">
        <v>53</v>
      </c>
      <c r="B11" s="47">
        <v>2</v>
      </c>
      <c r="C11" s="11">
        <v>5</v>
      </c>
      <c r="D11" s="60">
        <v>6</v>
      </c>
      <c r="E11" s="4">
        <v>6</v>
      </c>
      <c r="G11" s="64"/>
    </row>
    <row r="12" spans="1:8" x14ac:dyDescent="0.25">
      <c r="A12" s="10" t="s">
        <v>54</v>
      </c>
      <c r="B12" s="47">
        <v>3</v>
      </c>
      <c r="C12" s="11">
        <v>5</v>
      </c>
      <c r="D12" s="60">
        <v>8</v>
      </c>
      <c r="E12" s="4">
        <v>1</v>
      </c>
      <c r="G12" s="64">
        <v>5</v>
      </c>
    </row>
    <row r="13" spans="1:8" x14ac:dyDescent="0.25">
      <c r="A13" s="10" t="s">
        <v>55</v>
      </c>
      <c r="B13" s="47">
        <v>4</v>
      </c>
      <c r="C13" s="11">
        <v>6</v>
      </c>
      <c r="D13" s="60">
        <v>10</v>
      </c>
      <c r="E13" s="4">
        <v>2</v>
      </c>
      <c r="G13" s="64">
        <v>10</v>
      </c>
    </row>
    <row r="14" spans="1:8" x14ac:dyDescent="0.25">
      <c r="A14" s="10" t="s">
        <v>56</v>
      </c>
      <c r="B14" s="47">
        <v>5</v>
      </c>
      <c r="C14" s="11">
        <v>6</v>
      </c>
      <c r="D14" s="60">
        <v>10</v>
      </c>
      <c r="E14" s="4">
        <v>10</v>
      </c>
      <c r="G14" s="64"/>
    </row>
    <row r="15" spans="1:8" ht="15.75" thickBot="1" x14ac:dyDescent="0.3">
      <c r="A15" s="10" t="s">
        <v>57</v>
      </c>
      <c r="B15" s="50">
        <v>5</v>
      </c>
      <c r="C15" s="13">
        <v>7</v>
      </c>
      <c r="D15" s="60">
        <v>5</v>
      </c>
      <c r="E15" s="4">
        <v>5</v>
      </c>
      <c r="G15" s="64">
        <v>5</v>
      </c>
    </row>
    <row r="16" spans="1:8" x14ac:dyDescent="0.25">
      <c r="A16" s="10" t="s">
        <v>58</v>
      </c>
      <c r="B16" s="47">
        <v>6</v>
      </c>
      <c r="C16" s="11">
        <v>8</v>
      </c>
      <c r="D16" s="60">
        <v>10</v>
      </c>
      <c r="E16" s="4">
        <v>1</v>
      </c>
      <c r="G16" s="64">
        <v>10</v>
      </c>
    </row>
    <row r="17" spans="1:8" ht="15.75" thickBot="1" x14ac:dyDescent="0.3">
      <c r="A17" s="12" t="s">
        <v>59</v>
      </c>
      <c r="B17" s="50">
        <v>7</v>
      </c>
      <c r="C17" s="13">
        <v>8</v>
      </c>
      <c r="D17" s="60">
        <v>10</v>
      </c>
      <c r="E17" s="4">
        <v>1</v>
      </c>
      <c r="G17" s="64">
        <v>5</v>
      </c>
    </row>
    <row r="18" spans="1:8" x14ac:dyDescent="0.25">
      <c r="G18" s="64"/>
    </row>
    <row r="19" spans="1:8" ht="15.75" thickBot="1" x14ac:dyDescent="0.3">
      <c r="G19" s="65">
        <v>15</v>
      </c>
      <c r="H19" s="4" t="s">
        <v>90</v>
      </c>
    </row>
    <row r="20" spans="1:8" x14ac:dyDescent="0.25">
      <c r="A20" s="4" t="s">
        <v>61</v>
      </c>
    </row>
    <row r="21" spans="1:8" x14ac:dyDescent="0.25">
      <c r="E21" s="4" t="s">
        <v>91</v>
      </c>
    </row>
    <row r="22" spans="1:8" x14ac:dyDescent="0.25">
      <c r="A22" s="4" t="s">
        <v>88</v>
      </c>
    </row>
    <row r="23" spans="1:8" x14ac:dyDescent="0.25">
      <c r="A23" s="4" t="s">
        <v>89</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8434" r:id="rId3" name="Button 2">
              <controlPr defaultSize="0" print="0" autoFill="0" autoPict="0" macro="[1]!maxFlow_solve">
                <anchor moveWithCells="1" sizeWithCells="1">
                  <from>
                    <xdr:col>0</xdr:col>
                    <xdr:colOff>0</xdr:colOff>
                    <xdr:row>1</xdr:row>
                    <xdr:rowOff>95250</xdr:rowOff>
                  </from>
                  <to>
                    <xdr:col>1</xdr:col>
                    <xdr:colOff>0</xdr:colOff>
                    <xdr:row>2</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3"/>
  <sheetViews>
    <sheetView zoomScaleNormal="100" workbookViewId="0">
      <selection activeCell="F22" sqref="F22"/>
    </sheetView>
  </sheetViews>
  <sheetFormatPr defaultRowHeight="15" x14ac:dyDescent="0.25"/>
  <cols>
    <col min="1" max="1" width="12.7109375" style="4" customWidth="1"/>
    <col min="2" max="16384" width="9.140625" style="4"/>
  </cols>
  <sheetData>
    <row r="1" spans="1:8" ht="19.5" x14ac:dyDescent="0.3">
      <c r="A1" s="2" t="s">
        <v>42</v>
      </c>
      <c r="B1" s="5"/>
      <c r="C1" s="5"/>
      <c r="D1" s="5" t="s">
        <v>83</v>
      </c>
      <c r="E1" s="5"/>
      <c r="F1" s="5"/>
      <c r="G1" s="5"/>
      <c r="H1" s="5"/>
    </row>
    <row r="2" spans="1:8" x14ac:dyDescent="0.25">
      <c r="A2" s="3"/>
      <c r="B2" s="3"/>
    </row>
    <row r="4" spans="1:8" x14ac:dyDescent="0.25">
      <c r="A4" s="4" t="s">
        <v>85</v>
      </c>
      <c r="B4" s="47">
        <v>1</v>
      </c>
    </row>
    <row r="5" spans="1:8" x14ac:dyDescent="0.25">
      <c r="A5" s="4" t="s">
        <v>86</v>
      </c>
      <c r="B5" s="47"/>
    </row>
    <row r="6" spans="1:8" ht="15.75" thickBot="1" x14ac:dyDescent="0.3">
      <c r="A6" s="6" t="s">
        <v>4</v>
      </c>
      <c r="G6" s="7" t="s">
        <v>5</v>
      </c>
    </row>
    <row r="7" spans="1:8" ht="15.75" thickBot="1" x14ac:dyDescent="0.3">
      <c r="A7" s="8" t="s">
        <v>44</v>
      </c>
      <c r="B7" s="48" t="s">
        <v>45</v>
      </c>
      <c r="C7" s="49" t="s">
        <v>46</v>
      </c>
      <c r="D7" s="4" t="s">
        <v>64</v>
      </c>
      <c r="E7" s="4" t="s">
        <v>84</v>
      </c>
      <c r="G7" s="4" t="s">
        <v>87</v>
      </c>
    </row>
    <row r="8" spans="1:8" x14ac:dyDescent="0.25">
      <c r="A8" s="10" t="s">
        <v>50</v>
      </c>
      <c r="B8" s="47">
        <v>1</v>
      </c>
      <c r="C8" s="11">
        <v>2</v>
      </c>
      <c r="D8" s="4">
        <v>10</v>
      </c>
      <c r="E8" s="4">
        <v>4</v>
      </c>
      <c r="F8" s="60"/>
      <c r="G8" s="63">
        <v>10</v>
      </c>
    </row>
    <row r="9" spans="1:8" x14ac:dyDescent="0.25">
      <c r="A9" s="10" t="s">
        <v>51</v>
      </c>
      <c r="B9" s="47">
        <v>1</v>
      </c>
      <c r="C9" s="11">
        <v>3</v>
      </c>
      <c r="D9" s="4">
        <v>8</v>
      </c>
      <c r="E9" s="4">
        <v>2</v>
      </c>
      <c r="F9" s="60"/>
      <c r="G9" s="64">
        <v>5</v>
      </c>
    </row>
    <row r="10" spans="1:8" x14ac:dyDescent="0.25">
      <c r="A10" s="10" t="s">
        <v>52</v>
      </c>
      <c r="B10" s="47">
        <v>2</v>
      </c>
      <c r="C10" s="11">
        <v>4</v>
      </c>
      <c r="D10" s="4">
        <v>12</v>
      </c>
      <c r="E10" s="4">
        <v>1</v>
      </c>
      <c r="G10" s="64">
        <v>10</v>
      </c>
    </row>
    <row r="11" spans="1:8" x14ac:dyDescent="0.25">
      <c r="A11" s="10" t="s">
        <v>53</v>
      </c>
      <c r="B11" s="47">
        <v>2</v>
      </c>
      <c r="C11" s="11">
        <v>5</v>
      </c>
      <c r="D11" s="60">
        <v>0</v>
      </c>
      <c r="E11" s="4">
        <v>0</v>
      </c>
      <c r="G11" s="64"/>
    </row>
    <row r="12" spans="1:8" x14ac:dyDescent="0.25">
      <c r="A12" s="10" t="s">
        <v>54</v>
      </c>
      <c r="B12" s="47">
        <v>3</v>
      </c>
      <c r="C12" s="11">
        <v>5</v>
      </c>
      <c r="D12" s="60">
        <v>8</v>
      </c>
      <c r="E12" s="4">
        <v>1</v>
      </c>
      <c r="G12" s="64">
        <v>5</v>
      </c>
    </row>
    <row r="13" spans="1:8" x14ac:dyDescent="0.25">
      <c r="A13" s="10" t="s">
        <v>55</v>
      </c>
      <c r="B13" s="47">
        <v>4</v>
      </c>
      <c r="C13" s="11">
        <v>6</v>
      </c>
      <c r="D13" s="60">
        <v>10</v>
      </c>
      <c r="E13" s="4">
        <v>2</v>
      </c>
      <c r="G13" s="64">
        <v>10</v>
      </c>
    </row>
    <row r="14" spans="1:8" x14ac:dyDescent="0.25">
      <c r="A14" s="10" t="s">
        <v>56</v>
      </c>
      <c r="B14" s="47">
        <v>5</v>
      </c>
      <c r="C14" s="11">
        <v>6</v>
      </c>
      <c r="D14" s="60">
        <v>10</v>
      </c>
      <c r="E14" s="4">
        <v>10</v>
      </c>
      <c r="G14" s="64"/>
    </row>
    <row r="15" spans="1:8" ht="15.75" thickBot="1" x14ac:dyDescent="0.3">
      <c r="A15" s="10" t="s">
        <v>57</v>
      </c>
      <c r="B15" s="50">
        <v>5</v>
      </c>
      <c r="C15" s="13">
        <v>7</v>
      </c>
      <c r="D15" s="60">
        <v>5</v>
      </c>
      <c r="E15" s="4">
        <v>5</v>
      </c>
      <c r="G15" s="64">
        <v>5</v>
      </c>
    </row>
    <row r="16" spans="1:8" x14ac:dyDescent="0.25">
      <c r="A16" s="10" t="s">
        <v>58</v>
      </c>
      <c r="B16" s="47">
        <v>6</v>
      </c>
      <c r="C16" s="11">
        <v>8</v>
      </c>
      <c r="D16" s="60">
        <v>10</v>
      </c>
      <c r="E16" s="4">
        <v>1</v>
      </c>
      <c r="G16" s="64">
        <v>10</v>
      </c>
    </row>
    <row r="17" spans="1:8" ht="15.75" thickBot="1" x14ac:dyDescent="0.3">
      <c r="A17" s="12" t="s">
        <v>59</v>
      </c>
      <c r="B17" s="50">
        <v>7</v>
      </c>
      <c r="C17" s="13">
        <v>8</v>
      </c>
      <c r="D17" s="60">
        <v>10</v>
      </c>
      <c r="E17" s="4">
        <v>1</v>
      </c>
      <c r="G17" s="64">
        <v>5</v>
      </c>
    </row>
    <row r="18" spans="1:8" x14ac:dyDescent="0.25">
      <c r="G18" s="64"/>
    </row>
    <row r="19" spans="1:8" ht="15.75" thickBot="1" x14ac:dyDescent="0.3">
      <c r="G19" s="65">
        <v>15</v>
      </c>
      <c r="H19" s="4" t="s">
        <v>90</v>
      </c>
    </row>
    <row r="20" spans="1:8" x14ac:dyDescent="0.25">
      <c r="A20" s="4" t="s">
        <v>61</v>
      </c>
    </row>
    <row r="22" spans="1:8" x14ac:dyDescent="0.25">
      <c r="A22" s="4" t="s">
        <v>88</v>
      </c>
      <c r="F22" s="4" t="s">
        <v>92</v>
      </c>
    </row>
    <row r="23" spans="1:8" x14ac:dyDescent="0.25">
      <c r="A23" s="4" t="s">
        <v>89</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9458" r:id="rId3" name="Button 2">
              <controlPr defaultSize="0" print="0" autoFill="0" autoPict="0" macro="[1]!maxFlow_solve">
                <anchor moveWithCells="1" sizeWithCells="1">
                  <from>
                    <xdr:col>0</xdr:col>
                    <xdr:colOff>0</xdr:colOff>
                    <xdr:row>1</xdr:row>
                    <xdr:rowOff>95250</xdr:rowOff>
                  </from>
                  <to>
                    <xdr:col>1</xdr:col>
                    <xdr:colOff>0</xdr:colOff>
                    <xdr:row>2</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72"/>
  <sheetViews>
    <sheetView topLeftCell="A20" zoomScaleNormal="100" workbookViewId="0">
      <selection activeCell="J27" sqref="J27"/>
    </sheetView>
  </sheetViews>
  <sheetFormatPr defaultRowHeight="15" x14ac:dyDescent="0.25"/>
  <cols>
    <col min="1" max="1" width="9.140625" style="4"/>
    <col min="2" max="6" width="8.7109375" style="4" customWidth="1"/>
    <col min="7" max="7" width="12.85546875" style="4" customWidth="1"/>
    <col min="8" max="16384" width="9.140625" style="4"/>
  </cols>
  <sheetData>
    <row r="1" spans="1:8" ht="19.5" x14ac:dyDescent="0.3">
      <c r="A1" s="2" t="s">
        <v>93</v>
      </c>
      <c r="B1" s="5"/>
      <c r="C1" s="5"/>
      <c r="D1" s="5" t="s">
        <v>125</v>
      </c>
      <c r="E1" s="5"/>
      <c r="F1" s="5"/>
      <c r="G1" s="5"/>
      <c r="H1" s="5"/>
    </row>
    <row r="2" spans="1:8" x14ac:dyDescent="0.25">
      <c r="A2" s="3"/>
      <c r="B2" s="3"/>
    </row>
    <row r="4" spans="1:8" ht="15.75" thickBot="1" x14ac:dyDescent="0.3">
      <c r="A4" s="6" t="s">
        <v>4</v>
      </c>
      <c r="F4" s="4" t="s">
        <v>128</v>
      </c>
    </row>
    <row r="5" spans="1:8" x14ac:dyDescent="0.25">
      <c r="A5" s="8" t="s">
        <v>106</v>
      </c>
      <c r="B5" s="48" t="s">
        <v>118</v>
      </c>
      <c r="C5" s="48" t="s">
        <v>119</v>
      </c>
      <c r="D5" s="49" t="s">
        <v>127</v>
      </c>
      <c r="F5" s="54" t="s">
        <v>120</v>
      </c>
      <c r="G5" s="55" t="s">
        <v>121</v>
      </c>
      <c r="H5" s="58" t="s">
        <v>122</v>
      </c>
    </row>
    <row r="6" spans="1:8" x14ac:dyDescent="0.25">
      <c r="A6" s="10" t="s">
        <v>95</v>
      </c>
      <c r="B6" s="47">
        <v>3</v>
      </c>
      <c r="C6" s="47">
        <v>6</v>
      </c>
      <c r="D6" s="11">
        <v>9</v>
      </c>
      <c r="E6" s="66" t="str">
        <f>IF(A6&lt;&gt;TRIM(A6),"WARNING: There are blank characters in the activity name","")</f>
        <v/>
      </c>
      <c r="F6" s="53">
        <f>(B6+4*C6+D6)/6</f>
        <v>6</v>
      </c>
      <c r="G6" s="52">
        <f>(D6-B6)/6</f>
        <v>1</v>
      </c>
      <c r="H6" s="70">
        <f>G6^2</f>
        <v>1</v>
      </c>
    </row>
    <row r="7" spans="1:8" x14ac:dyDescent="0.25">
      <c r="A7" s="10" t="s">
        <v>96</v>
      </c>
      <c r="B7" s="47">
        <v>2</v>
      </c>
      <c r="C7" s="47">
        <v>4</v>
      </c>
      <c r="D7" s="11">
        <v>6</v>
      </c>
      <c r="E7" s="66" t="str">
        <f t="shared" ref="E7:E16" si="0">IF(A7&lt;&gt;TRIM(A7),"WARNING: There are blank characters in the activity name","")</f>
        <v/>
      </c>
      <c r="F7" s="53">
        <f t="shared" ref="F7:F16" si="1">(B7+4*C7+D7)/6</f>
        <v>4</v>
      </c>
      <c r="G7" s="52">
        <f t="shared" ref="G7:G16" si="2">(D7-B7)/6</f>
        <v>0.66666666666666663</v>
      </c>
      <c r="H7" s="70">
        <f t="shared" ref="H7:H16" si="3">G7^2</f>
        <v>0.44444444444444442</v>
      </c>
    </row>
    <row r="8" spans="1:8" x14ac:dyDescent="0.25">
      <c r="A8" s="10" t="s">
        <v>97</v>
      </c>
      <c r="B8" s="47">
        <v>1</v>
      </c>
      <c r="C8" s="47">
        <v>2</v>
      </c>
      <c r="D8" s="11">
        <v>3</v>
      </c>
      <c r="E8" s="66" t="str">
        <f t="shared" si="0"/>
        <v/>
      </c>
      <c r="F8" s="53">
        <f t="shared" si="1"/>
        <v>2</v>
      </c>
      <c r="G8" s="52">
        <f t="shared" si="2"/>
        <v>0.33333333333333331</v>
      </c>
      <c r="H8" s="70">
        <f t="shared" si="3"/>
        <v>0.1111111111111111</v>
      </c>
    </row>
    <row r="9" spans="1:8" x14ac:dyDescent="0.25">
      <c r="A9" s="10" t="s">
        <v>98</v>
      </c>
      <c r="B9" s="47">
        <v>6</v>
      </c>
      <c r="C9" s="47">
        <v>7</v>
      </c>
      <c r="D9" s="11">
        <v>8</v>
      </c>
      <c r="E9" s="66" t="str">
        <f t="shared" si="0"/>
        <v/>
      </c>
      <c r="F9" s="53">
        <f t="shared" si="1"/>
        <v>7</v>
      </c>
      <c r="G9" s="52">
        <f t="shared" si="2"/>
        <v>0.33333333333333331</v>
      </c>
      <c r="H9" s="70">
        <f t="shared" si="3"/>
        <v>0.1111111111111111</v>
      </c>
    </row>
    <row r="10" spans="1:8" x14ac:dyDescent="0.25">
      <c r="A10" s="10" t="s">
        <v>99</v>
      </c>
      <c r="B10" s="47">
        <v>2</v>
      </c>
      <c r="C10" s="47">
        <v>4</v>
      </c>
      <c r="D10" s="11">
        <v>6</v>
      </c>
      <c r="E10" s="66" t="str">
        <f t="shared" si="0"/>
        <v/>
      </c>
      <c r="F10" s="53">
        <f t="shared" si="1"/>
        <v>4</v>
      </c>
      <c r="G10" s="52">
        <f t="shared" si="2"/>
        <v>0.66666666666666663</v>
      </c>
      <c r="H10" s="70">
        <f t="shared" si="3"/>
        <v>0.44444444444444442</v>
      </c>
    </row>
    <row r="11" spans="1:8" x14ac:dyDescent="0.25">
      <c r="A11" s="10" t="s">
        <v>100</v>
      </c>
      <c r="B11" s="47">
        <v>6</v>
      </c>
      <c r="C11" s="47">
        <v>10</v>
      </c>
      <c r="D11" s="11">
        <v>14</v>
      </c>
      <c r="E11" s="66" t="str">
        <f t="shared" si="0"/>
        <v/>
      </c>
      <c r="F11" s="53">
        <f t="shared" si="1"/>
        <v>10</v>
      </c>
      <c r="G11" s="52">
        <f t="shared" si="2"/>
        <v>1.3333333333333333</v>
      </c>
      <c r="H11" s="70">
        <f t="shared" si="3"/>
        <v>1.7777777777777777</v>
      </c>
    </row>
    <row r="12" spans="1:8" x14ac:dyDescent="0.25">
      <c r="A12" s="10" t="s">
        <v>101</v>
      </c>
      <c r="B12" s="47">
        <v>1</v>
      </c>
      <c r="C12" s="47">
        <v>2</v>
      </c>
      <c r="D12" s="11">
        <v>6</v>
      </c>
      <c r="E12" s="66" t="str">
        <f t="shared" si="0"/>
        <v/>
      </c>
      <c r="F12" s="53">
        <f t="shared" si="1"/>
        <v>2.5</v>
      </c>
      <c r="G12" s="52">
        <f t="shared" si="2"/>
        <v>0.83333333333333337</v>
      </c>
      <c r="H12" s="70">
        <f t="shared" si="3"/>
        <v>0.69444444444444453</v>
      </c>
    </row>
    <row r="13" spans="1:8" x14ac:dyDescent="0.25">
      <c r="A13" s="10" t="s">
        <v>102</v>
      </c>
      <c r="B13" s="47">
        <v>3</v>
      </c>
      <c r="C13" s="47">
        <v>6</v>
      </c>
      <c r="D13" s="11">
        <v>9</v>
      </c>
      <c r="E13" s="66" t="str">
        <f t="shared" si="0"/>
        <v/>
      </c>
      <c r="F13" s="53">
        <f t="shared" si="1"/>
        <v>6</v>
      </c>
      <c r="G13" s="52">
        <f t="shared" si="2"/>
        <v>1</v>
      </c>
      <c r="H13" s="70">
        <f t="shared" si="3"/>
        <v>1</v>
      </c>
    </row>
    <row r="14" spans="1:8" x14ac:dyDescent="0.25">
      <c r="A14" s="10" t="s">
        <v>103</v>
      </c>
      <c r="B14" s="47">
        <v>10</v>
      </c>
      <c r="C14" s="47">
        <v>11</v>
      </c>
      <c r="D14" s="11">
        <v>12</v>
      </c>
      <c r="E14" s="66" t="str">
        <f t="shared" si="0"/>
        <v/>
      </c>
      <c r="F14" s="53">
        <f t="shared" si="1"/>
        <v>11</v>
      </c>
      <c r="G14" s="52">
        <f t="shared" si="2"/>
        <v>0.33333333333333331</v>
      </c>
      <c r="H14" s="70">
        <f t="shared" si="3"/>
        <v>0.1111111111111111</v>
      </c>
    </row>
    <row r="15" spans="1:8" x14ac:dyDescent="0.25">
      <c r="A15" s="10" t="s">
        <v>104</v>
      </c>
      <c r="B15" s="47">
        <v>14</v>
      </c>
      <c r="C15" s="47">
        <v>16</v>
      </c>
      <c r="D15" s="11">
        <v>21</v>
      </c>
      <c r="E15" s="66" t="str">
        <f t="shared" si="0"/>
        <v/>
      </c>
      <c r="F15" s="53">
        <f t="shared" si="1"/>
        <v>16.5</v>
      </c>
      <c r="G15" s="52">
        <f t="shared" si="2"/>
        <v>1.1666666666666667</v>
      </c>
      <c r="H15" s="70">
        <f t="shared" si="3"/>
        <v>1.3611111111111114</v>
      </c>
    </row>
    <row r="16" spans="1:8" ht="15.75" thickBot="1" x14ac:dyDescent="0.3">
      <c r="A16" s="10" t="s">
        <v>105</v>
      </c>
      <c r="B16" s="47">
        <v>2</v>
      </c>
      <c r="C16" s="47">
        <v>8</v>
      </c>
      <c r="D16" s="11">
        <v>11</v>
      </c>
      <c r="E16" s="66" t="str">
        <f t="shared" si="0"/>
        <v/>
      </c>
      <c r="F16" s="56">
        <f t="shared" si="1"/>
        <v>7.5</v>
      </c>
      <c r="G16" s="57">
        <f t="shared" si="2"/>
        <v>1.5</v>
      </c>
      <c r="H16" s="59">
        <f t="shared" si="3"/>
        <v>2.25</v>
      </c>
    </row>
    <row r="17" spans="1:9" x14ac:dyDescent="0.25">
      <c r="A17" s="74" t="s">
        <v>126</v>
      </c>
      <c r="B17" s="61"/>
      <c r="C17" s="61" t="s">
        <v>94</v>
      </c>
      <c r="D17" s="75"/>
    </row>
    <row r="18" spans="1:9" x14ac:dyDescent="0.25">
      <c r="A18" s="10" t="s">
        <v>106</v>
      </c>
      <c r="B18" s="61" t="s">
        <v>107</v>
      </c>
      <c r="C18" s="61" t="s">
        <v>108</v>
      </c>
      <c r="D18" s="75" t="s">
        <v>109</v>
      </c>
    </row>
    <row r="19" spans="1:9" x14ac:dyDescent="0.25">
      <c r="A19" s="10" t="str">
        <f t="shared" ref="A19:A29" si="4">A6</f>
        <v>A</v>
      </c>
      <c r="B19" s="76">
        <f t="shared" ref="B19:B29" si="5">F6</f>
        <v>6</v>
      </c>
      <c r="C19" s="47"/>
      <c r="D19" s="11"/>
    </row>
    <row r="20" spans="1:9" x14ac:dyDescent="0.25">
      <c r="A20" s="10" t="str">
        <f t="shared" si="4"/>
        <v>B</v>
      </c>
      <c r="B20" s="76">
        <f t="shared" si="5"/>
        <v>4</v>
      </c>
      <c r="C20" s="47"/>
      <c r="D20" s="11"/>
      <c r="G20" s="4" t="s">
        <v>129</v>
      </c>
    </row>
    <row r="21" spans="1:9" x14ac:dyDescent="0.25">
      <c r="A21" s="10" t="str">
        <f t="shared" si="4"/>
        <v>C</v>
      </c>
      <c r="B21" s="76">
        <f t="shared" si="5"/>
        <v>2</v>
      </c>
      <c r="C21" s="47"/>
      <c r="D21" s="11"/>
      <c r="G21" s="4" t="s">
        <v>130</v>
      </c>
      <c r="H21" s="4">
        <v>36.5</v>
      </c>
    </row>
    <row r="22" spans="1:9" x14ac:dyDescent="0.25">
      <c r="A22" s="10" t="str">
        <f t="shared" si="4"/>
        <v>D</v>
      </c>
      <c r="B22" s="76">
        <f t="shared" si="5"/>
        <v>7</v>
      </c>
      <c r="C22" s="47" t="s">
        <v>97</v>
      </c>
      <c r="D22" s="11"/>
      <c r="G22" s="4" t="s">
        <v>131</v>
      </c>
      <c r="H22" s="4">
        <f>I45</f>
        <v>2.386303510546059</v>
      </c>
    </row>
    <row r="23" spans="1:9" x14ac:dyDescent="0.25">
      <c r="A23" s="10" t="str">
        <f t="shared" si="4"/>
        <v>E</v>
      </c>
      <c r="B23" s="76">
        <f t="shared" si="5"/>
        <v>4</v>
      </c>
      <c r="C23" s="47" t="s">
        <v>96</v>
      </c>
      <c r="D23" s="11" t="s">
        <v>98</v>
      </c>
      <c r="G23" s="4" t="s">
        <v>132</v>
      </c>
      <c r="H23" s="4">
        <v>38</v>
      </c>
    </row>
    <row r="24" spans="1:9" x14ac:dyDescent="0.25">
      <c r="A24" s="10" t="str">
        <f t="shared" si="4"/>
        <v>F</v>
      </c>
      <c r="B24" s="76">
        <f t="shared" si="5"/>
        <v>10</v>
      </c>
      <c r="C24" s="47" t="s">
        <v>95</v>
      </c>
      <c r="D24" s="11" t="s">
        <v>99</v>
      </c>
      <c r="G24" s="4" t="s">
        <v>133</v>
      </c>
      <c r="H24" s="4">
        <f>(H23-H21)/H22</f>
        <v>0.62858726619262029</v>
      </c>
    </row>
    <row r="25" spans="1:9" x14ac:dyDescent="0.25">
      <c r="A25" s="10" t="str">
        <f t="shared" si="4"/>
        <v>G</v>
      </c>
      <c r="B25" s="76">
        <f t="shared" si="5"/>
        <v>2.5</v>
      </c>
      <c r="C25" s="47" t="s">
        <v>95</v>
      </c>
      <c r="D25" s="11" t="s">
        <v>99</v>
      </c>
      <c r="G25" s="4" t="s">
        <v>134</v>
      </c>
      <c r="H25" s="4">
        <f>_xlfn.NORM.S.DIST(H24,TRUE)</f>
        <v>0.73519035049827419</v>
      </c>
    </row>
    <row r="26" spans="1:9" x14ac:dyDescent="0.25">
      <c r="A26" s="10" t="str">
        <f t="shared" si="4"/>
        <v>H</v>
      </c>
      <c r="B26" s="76">
        <f t="shared" si="5"/>
        <v>6</v>
      </c>
      <c r="C26" s="47" t="s">
        <v>100</v>
      </c>
      <c r="D26" s="11"/>
    </row>
    <row r="27" spans="1:9" x14ac:dyDescent="0.25">
      <c r="A27" s="10" t="str">
        <f t="shared" si="4"/>
        <v>I</v>
      </c>
      <c r="B27" s="76">
        <f t="shared" si="5"/>
        <v>11</v>
      </c>
      <c r="C27" s="47" t="s">
        <v>101</v>
      </c>
      <c r="D27" s="11"/>
    </row>
    <row r="28" spans="1:9" x14ac:dyDescent="0.25">
      <c r="A28" s="10" t="str">
        <f t="shared" si="4"/>
        <v>J</v>
      </c>
      <c r="B28" s="76">
        <f t="shared" si="5"/>
        <v>16.5</v>
      </c>
      <c r="C28" s="47" t="s">
        <v>101</v>
      </c>
      <c r="D28" s="11"/>
    </row>
    <row r="29" spans="1:9" ht="15.75" thickBot="1" x14ac:dyDescent="0.3">
      <c r="A29" s="12" t="str">
        <f t="shared" si="4"/>
        <v>K</v>
      </c>
      <c r="B29" s="77">
        <f t="shared" si="5"/>
        <v>7.5</v>
      </c>
      <c r="C29" s="50" t="s">
        <v>102</v>
      </c>
      <c r="D29" s="13" t="s">
        <v>103</v>
      </c>
    </row>
    <row r="31" spans="1:9" ht="15.75" thickBot="1" x14ac:dyDescent="0.3">
      <c r="A31" s="7" t="s">
        <v>5</v>
      </c>
    </row>
    <row r="32" spans="1:9" s="28" customFormat="1" ht="30" x14ac:dyDescent="0.25">
      <c r="A32" s="67" t="s">
        <v>106</v>
      </c>
      <c r="B32" s="68" t="s">
        <v>110</v>
      </c>
      <c r="C32" s="68" t="s">
        <v>111</v>
      </c>
      <c r="D32" s="68" t="s">
        <v>112</v>
      </c>
      <c r="E32" s="68" t="s">
        <v>113</v>
      </c>
      <c r="F32" s="69" t="s">
        <v>114</v>
      </c>
      <c r="H32" s="67" t="s">
        <v>122</v>
      </c>
      <c r="I32" s="69" t="s">
        <v>123</v>
      </c>
    </row>
    <row r="33" spans="1:9" x14ac:dyDescent="0.25">
      <c r="A33" s="53" t="str">
        <f>A19</f>
        <v>A</v>
      </c>
      <c r="B33" s="52">
        <f>MAX(C47:D47)</f>
        <v>0</v>
      </c>
      <c r="C33" s="52">
        <f>B19+B33</f>
        <v>6</v>
      </c>
      <c r="D33" s="52">
        <f>E33-B19</f>
        <v>7</v>
      </c>
      <c r="E33" s="52">
        <f>B72</f>
        <v>13</v>
      </c>
      <c r="F33" s="70">
        <f>IF(D33-B33&lt;0.00000001,0,D33-B33)</f>
        <v>7</v>
      </c>
      <c r="H33" s="53">
        <f>H6</f>
        <v>1</v>
      </c>
      <c r="I33" s="70" t="str">
        <f>IF(F33&lt;0.00001,H6,"")</f>
        <v/>
      </c>
    </row>
    <row r="34" spans="1:9" x14ac:dyDescent="0.25">
      <c r="A34" s="53" t="str">
        <f t="shared" ref="A34:A43" si="6">A20</f>
        <v>B</v>
      </c>
      <c r="B34" s="52">
        <f t="shared" ref="B34:B43" si="7">MAX(C48:D48)</f>
        <v>0</v>
      </c>
      <c r="C34" s="52">
        <f t="shared" ref="C34:C43" si="8">B20+B34</f>
        <v>4</v>
      </c>
      <c r="D34" s="52">
        <f t="shared" ref="D34:D43" si="9">E34-B20</f>
        <v>5</v>
      </c>
      <c r="E34" s="52">
        <f>C72</f>
        <v>9</v>
      </c>
      <c r="F34" s="70">
        <f t="shared" ref="F34:F43" si="10">IF(D34-B34&lt;0.00000001,0,D34-B34)</f>
        <v>5</v>
      </c>
      <c r="H34" s="53">
        <f t="shared" ref="H34:H43" si="11">H7</f>
        <v>0.44444444444444442</v>
      </c>
      <c r="I34" s="70" t="str">
        <f t="shared" ref="I34:I43" si="12">IF(F34&lt;0.00001,H7,"")</f>
        <v/>
      </c>
    </row>
    <row r="35" spans="1:9" x14ac:dyDescent="0.25">
      <c r="A35" s="53" t="str">
        <f t="shared" si="6"/>
        <v>C</v>
      </c>
      <c r="B35" s="52">
        <f t="shared" si="7"/>
        <v>0</v>
      </c>
      <c r="C35" s="52">
        <f t="shared" si="8"/>
        <v>2</v>
      </c>
      <c r="D35" s="52">
        <f t="shared" si="9"/>
        <v>0</v>
      </c>
      <c r="E35" s="52">
        <f>D72</f>
        <v>2</v>
      </c>
      <c r="F35" s="70">
        <f t="shared" si="10"/>
        <v>0</v>
      </c>
      <c r="H35" s="53">
        <f t="shared" si="11"/>
        <v>0.1111111111111111</v>
      </c>
      <c r="I35" s="70">
        <f t="shared" si="12"/>
        <v>0.1111111111111111</v>
      </c>
    </row>
    <row r="36" spans="1:9" x14ac:dyDescent="0.25">
      <c r="A36" s="53" t="str">
        <f t="shared" si="6"/>
        <v>D</v>
      </c>
      <c r="B36" s="52">
        <f t="shared" si="7"/>
        <v>2</v>
      </c>
      <c r="C36" s="52">
        <f t="shared" si="8"/>
        <v>9</v>
      </c>
      <c r="D36" s="52">
        <f t="shared" si="9"/>
        <v>2</v>
      </c>
      <c r="E36" s="52">
        <f>E72</f>
        <v>9</v>
      </c>
      <c r="F36" s="70">
        <f>IF(D36-B36&lt;0.00000001,0,D36-B36)</f>
        <v>0</v>
      </c>
      <c r="H36" s="53">
        <f t="shared" si="11"/>
        <v>0.1111111111111111</v>
      </c>
      <c r="I36" s="70">
        <f t="shared" si="12"/>
        <v>0.1111111111111111</v>
      </c>
    </row>
    <row r="37" spans="1:9" x14ac:dyDescent="0.25">
      <c r="A37" s="53" t="str">
        <f t="shared" si="6"/>
        <v>E</v>
      </c>
      <c r="B37" s="52">
        <f t="shared" si="7"/>
        <v>9</v>
      </c>
      <c r="C37" s="52">
        <f t="shared" si="8"/>
        <v>13</v>
      </c>
      <c r="D37" s="52">
        <f t="shared" si="9"/>
        <v>9</v>
      </c>
      <c r="E37" s="52">
        <f>F72</f>
        <v>13</v>
      </c>
      <c r="F37" s="70">
        <f t="shared" si="10"/>
        <v>0</v>
      </c>
      <c r="H37" s="53">
        <f t="shared" si="11"/>
        <v>0.44444444444444442</v>
      </c>
      <c r="I37" s="70">
        <f t="shared" si="12"/>
        <v>0.44444444444444442</v>
      </c>
    </row>
    <row r="38" spans="1:9" x14ac:dyDescent="0.25">
      <c r="A38" s="53" t="str">
        <f t="shared" si="6"/>
        <v>F</v>
      </c>
      <c r="B38" s="52">
        <f t="shared" si="7"/>
        <v>13</v>
      </c>
      <c r="C38" s="52">
        <f t="shared" si="8"/>
        <v>23</v>
      </c>
      <c r="D38" s="52">
        <f t="shared" si="9"/>
        <v>13</v>
      </c>
      <c r="E38" s="52">
        <f>G72</f>
        <v>23</v>
      </c>
      <c r="F38" s="70">
        <f>IF(D38-B38&lt;0.00000001,0,D38-B38)</f>
        <v>0</v>
      </c>
      <c r="H38" s="53">
        <f t="shared" si="11"/>
        <v>1.7777777777777777</v>
      </c>
      <c r="I38" s="70">
        <f t="shared" si="12"/>
        <v>1.7777777777777777</v>
      </c>
    </row>
    <row r="39" spans="1:9" x14ac:dyDescent="0.25">
      <c r="A39" s="53" t="str">
        <f t="shared" si="6"/>
        <v>G</v>
      </c>
      <c r="B39" s="52">
        <f t="shared" si="7"/>
        <v>13</v>
      </c>
      <c r="C39" s="52">
        <f t="shared" si="8"/>
        <v>15.5</v>
      </c>
      <c r="D39" s="52">
        <f t="shared" si="9"/>
        <v>15.5</v>
      </c>
      <c r="E39" s="52">
        <f>H72</f>
        <v>18</v>
      </c>
      <c r="F39" s="70">
        <f t="shared" si="10"/>
        <v>2.5</v>
      </c>
      <c r="H39" s="53">
        <f t="shared" si="11"/>
        <v>0.69444444444444453</v>
      </c>
      <c r="I39" s="70" t="str">
        <f t="shared" si="12"/>
        <v/>
      </c>
    </row>
    <row r="40" spans="1:9" x14ac:dyDescent="0.25">
      <c r="A40" s="53" t="str">
        <f t="shared" si="6"/>
        <v>H</v>
      </c>
      <c r="B40" s="52">
        <f t="shared" si="7"/>
        <v>23</v>
      </c>
      <c r="C40" s="52">
        <f t="shared" si="8"/>
        <v>29</v>
      </c>
      <c r="D40" s="52">
        <f t="shared" si="9"/>
        <v>23</v>
      </c>
      <c r="E40" s="52">
        <f>I72</f>
        <v>29</v>
      </c>
      <c r="F40" s="70">
        <f>IF(D40-B40&lt;0.00000001,0,D40-B40)</f>
        <v>0</v>
      </c>
      <c r="H40" s="53">
        <f t="shared" si="11"/>
        <v>1</v>
      </c>
      <c r="I40" s="70">
        <f t="shared" si="12"/>
        <v>1</v>
      </c>
    </row>
    <row r="41" spans="1:9" x14ac:dyDescent="0.25">
      <c r="A41" s="53" t="str">
        <f t="shared" si="6"/>
        <v>I</v>
      </c>
      <c r="B41" s="52">
        <f t="shared" si="7"/>
        <v>15.5</v>
      </c>
      <c r="C41" s="52">
        <f t="shared" si="8"/>
        <v>26.5</v>
      </c>
      <c r="D41" s="52">
        <f t="shared" si="9"/>
        <v>18</v>
      </c>
      <c r="E41" s="52">
        <f>J72</f>
        <v>29</v>
      </c>
      <c r="F41" s="70">
        <f t="shared" si="10"/>
        <v>2.5</v>
      </c>
      <c r="H41" s="53">
        <f t="shared" si="11"/>
        <v>0.1111111111111111</v>
      </c>
      <c r="I41" s="70" t="str">
        <f t="shared" si="12"/>
        <v/>
      </c>
    </row>
    <row r="42" spans="1:9" x14ac:dyDescent="0.25">
      <c r="A42" s="53" t="str">
        <f t="shared" si="6"/>
        <v>J</v>
      </c>
      <c r="B42" s="52">
        <f t="shared" si="7"/>
        <v>15.5</v>
      </c>
      <c r="C42" s="52">
        <f t="shared" si="8"/>
        <v>32</v>
      </c>
      <c r="D42" s="52">
        <f t="shared" si="9"/>
        <v>20</v>
      </c>
      <c r="E42" s="52">
        <f>K72</f>
        <v>36.5</v>
      </c>
      <c r="F42" s="70">
        <f t="shared" si="10"/>
        <v>4.5</v>
      </c>
      <c r="H42" s="53">
        <f t="shared" si="11"/>
        <v>1.3611111111111114</v>
      </c>
      <c r="I42" s="70" t="str">
        <f t="shared" si="12"/>
        <v/>
      </c>
    </row>
    <row r="43" spans="1:9" ht="15.75" thickBot="1" x14ac:dyDescent="0.3">
      <c r="A43" s="53" t="str">
        <f t="shared" si="6"/>
        <v>K</v>
      </c>
      <c r="B43" s="52">
        <f t="shared" si="7"/>
        <v>29</v>
      </c>
      <c r="C43" s="52">
        <f t="shared" si="8"/>
        <v>36.5</v>
      </c>
      <c r="D43" s="52">
        <f t="shared" si="9"/>
        <v>29</v>
      </c>
      <c r="E43" s="52">
        <f>L72</f>
        <v>36.5</v>
      </c>
      <c r="F43" s="70">
        <f t="shared" si="10"/>
        <v>0</v>
      </c>
      <c r="H43" s="72">
        <f t="shared" si="11"/>
        <v>2.25</v>
      </c>
      <c r="I43" s="73">
        <f t="shared" si="12"/>
        <v>2.25</v>
      </c>
    </row>
    <row r="44" spans="1:9" ht="15.75" thickBot="1" x14ac:dyDescent="0.3">
      <c r="A44" s="56"/>
      <c r="B44" s="62" t="s">
        <v>115</v>
      </c>
      <c r="C44" s="62">
        <f>MAX(C33:C43)</f>
        <v>36.5</v>
      </c>
      <c r="D44" s="57"/>
      <c r="E44" s="57"/>
      <c r="F44" s="59"/>
      <c r="H44" s="17" t="s">
        <v>115</v>
      </c>
      <c r="I44" s="20">
        <f>SUM(I33:I43)</f>
        <v>5.6944444444444446</v>
      </c>
    </row>
    <row r="45" spans="1:9" ht="15.75" thickBot="1" x14ac:dyDescent="0.3">
      <c r="H45" s="19" t="s">
        <v>124</v>
      </c>
      <c r="I45" s="22">
        <f>SQRT(I44)</f>
        <v>2.386303510546059</v>
      </c>
    </row>
    <row r="46" spans="1:9" x14ac:dyDescent="0.25">
      <c r="A46" s="71" t="s">
        <v>116</v>
      </c>
    </row>
    <row r="47" spans="1:9" x14ac:dyDescent="0.25">
      <c r="A47" s="4" t="str">
        <f>A19</f>
        <v>A</v>
      </c>
      <c r="C47" s="4">
        <f>IF(ISNUMBER(VLOOKUP(TRIM(C19),$A$33:$C$43,3,FALSE)),VLOOKUP(TRIM(C19),$A$33:$C$43,3,FALSE),0)</f>
        <v>0</v>
      </c>
      <c r="D47" s="4">
        <f t="shared" ref="D47" si="13">IF(ISNUMBER(VLOOKUP(TRIM(D19),$A$33:$C$43,3,FALSE)),VLOOKUP(TRIM(D19),$A$33:$C$43,3,FALSE),0)</f>
        <v>0</v>
      </c>
    </row>
    <row r="48" spans="1:9" x14ac:dyDescent="0.25">
      <c r="A48" s="4" t="str">
        <f t="shared" ref="A48:A57" si="14">A20</f>
        <v>B</v>
      </c>
      <c r="C48" s="4">
        <f t="shared" ref="C48:D57" si="15">IF(ISNUMBER(VLOOKUP(TRIM(C20),$A$33:$C$43,3,FALSE)),VLOOKUP(TRIM(C20),$A$33:$C$43,3,FALSE),0)</f>
        <v>0</v>
      </c>
      <c r="D48" s="4">
        <f t="shared" si="15"/>
        <v>0</v>
      </c>
    </row>
    <row r="49" spans="1:12" x14ac:dyDescent="0.25">
      <c r="A49" s="4" t="str">
        <f t="shared" si="14"/>
        <v>C</v>
      </c>
      <c r="C49" s="4">
        <f t="shared" si="15"/>
        <v>0</v>
      </c>
      <c r="D49" s="4">
        <f t="shared" si="15"/>
        <v>0</v>
      </c>
    </row>
    <row r="50" spans="1:12" x14ac:dyDescent="0.25">
      <c r="A50" s="4" t="str">
        <f t="shared" si="14"/>
        <v>D</v>
      </c>
      <c r="C50" s="4">
        <f t="shared" si="15"/>
        <v>2</v>
      </c>
      <c r="D50" s="4">
        <f t="shared" si="15"/>
        <v>0</v>
      </c>
    </row>
    <row r="51" spans="1:12" x14ac:dyDescent="0.25">
      <c r="A51" s="4" t="str">
        <f t="shared" si="14"/>
        <v>E</v>
      </c>
      <c r="C51" s="4">
        <f t="shared" si="15"/>
        <v>4</v>
      </c>
      <c r="D51" s="4">
        <f t="shared" si="15"/>
        <v>9</v>
      </c>
    </row>
    <row r="52" spans="1:12" x14ac:dyDescent="0.25">
      <c r="A52" s="4" t="str">
        <f t="shared" si="14"/>
        <v>F</v>
      </c>
      <c r="C52" s="4">
        <f t="shared" si="15"/>
        <v>6</v>
      </c>
      <c r="D52" s="4">
        <f t="shared" si="15"/>
        <v>13</v>
      </c>
    </row>
    <row r="53" spans="1:12" x14ac:dyDescent="0.25">
      <c r="A53" s="4" t="str">
        <f t="shared" si="14"/>
        <v>G</v>
      </c>
      <c r="C53" s="4">
        <f t="shared" si="15"/>
        <v>6</v>
      </c>
      <c r="D53" s="4">
        <f t="shared" si="15"/>
        <v>13</v>
      </c>
    </row>
    <row r="54" spans="1:12" x14ac:dyDescent="0.25">
      <c r="A54" s="4" t="str">
        <f t="shared" si="14"/>
        <v>H</v>
      </c>
      <c r="C54" s="4">
        <f t="shared" si="15"/>
        <v>23</v>
      </c>
      <c r="D54" s="4">
        <f t="shared" si="15"/>
        <v>0</v>
      </c>
    </row>
    <row r="55" spans="1:12" x14ac:dyDescent="0.25">
      <c r="A55" s="4" t="str">
        <f t="shared" si="14"/>
        <v>I</v>
      </c>
      <c r="C55" s="4">
        <f t="shared" si="15"/>
        <v>15.5</v>
      </c>
      <c r="D55" s="4">
        <f t="shared" si="15"/>
        <v>0</v>
      </c>
    </row>
    <row r="56" spans="1:12" x14ac:dyDescent="0.25">
      <c r="A56" s="4" t="str">
        <f t="shared" si="14"/>
        <v>J</v>
      </c>
      <c r="C56" s="4">
        <f t="shared" si="15"/>
        <v>15.5</v>
      </c>
      <c r="D56" s="4">
        <f t="shared" si="15"/>
        <v>0</v>
      </c>
    </row>
    <row r="57" spans="1:12" x14ac:dyDescent="0.25">
      <c r="A57" s="4" t="str">
        <f t="shared" si="14"/>
        <v>K</v>
      </c>
      <c r="C57" s="4">
        <f t="shared" si="15"/>
        <v>29</v>
      </c>
      <c r="D57" s="4">
        <f t="shared" si="15"/>
        <v>26.5</v>
      </c>
    </row>
    <row r="59" spans="1:12" x14ac:dyDescent="0.25">
      <c r="A59" s="71" t="s">
        <v>117</v>
      </c>
    </row>
    <row r="60" spans="1:12" x14ac:dyDescent="0.25">
      <c r="B60" s="4" t="str">
        <f>A19</f>
        <v>A</v>
      </c>
      <c r="C60" s="4" t="str">
        <f>A20</f>
        <v>B</v>
      </c>
      <c r="D60" s="4" t="str">
        <f>A21</f>
        <v>C</v>
      </c>
      <c r="E60" s="4" t="str">
        <f>A22</f>
        <v>D</v>
      </c>
      <c r="F60" s="4" t="str">
        <f>A23</f>
        <v>E</v>
      </c>
      <c r="G60" s="4" t="str">
        <f>A24</f>
        <v>F</v>
      </c>
      <c r="H60" s="4" t="str">
        <f>A25</f>
        <v>G</v>
      </c>
      <c r="I60" s="4" t="str">
        <f>A26</f>
        <v>H</v>
      </c>
      <c r="J60" s="4" t="str">
        <f>A27</f>
        <v>I</v>
      </c>
      <c r="K60" s="4" t="str">
        <f>A28</f>
        <v>J</v>
      </c>
      <c r="L60" s="4" t="str">
        <f>A29</f>
        <v>K</v>
      </c>
    </row>
    <row r="61" spans="1:12" x14ac:dyDescent="0.25">
      <c r="A61" s="4" t="str">
        <f t="shared" ref="A61:A71" si="16">A19</f>
        <v>A</v>
      </c>
      <c r="B61" s="4">
        <f>IF($D19=B$60,$D33,IF($C19=B$60,$D33,$C$44))</f>
        <v>36.5</v>
      </c>
      <c r="C61" s="4">
        <f t="shared" ref="C61:L61" si="17">IF($D19=C$60,$D33,IF($C19=C$60,$D33,$C$44))</f>
        <v>36.5</v>
      </c>
      <c r="D61" s="4">
        <f t="shared" si="17"/>
        <v>36.5</v>
      </c>
      <c r="E61" s="4">
        <f t="shared" si="17"/>
        <v>36.5</v>
      </c>
      <c r="F61" s="4">
        <f t="shared" si="17"/>
        <v>36.5</v>
      </c>
      <c r="G61" s="4">
        <f t="shared" si="17"/>
        <v>36.5</v>
      </c>
      <c r="H61" s="4">
        <f t="shared" si="17"/>
        <v>36.5</v>
      </c>
      <c r="I61" s="4">
        <f t="shared" si="17"/>
        <v>36.5</v>
      </c>
      <c r="J61" s="4">
        <f t="shared" si="17"/>
        <v>36.5</v>
      </c>
      <c r="K61" s="4">
        <f t="shared" si="17"/>
        <v>36.5</v>
      </c>
      <c r="L61" s="4">
        <f t="shared" si="17"/>
        <v>36.5</v>
      </c>
    </row>
    <row r="62" spans="1:12" x14ac:dyDescent="0.25">
      <c r="A62" s="4" t="str">
        <f t="shared" si="16"/>
        <v>B</v>
      </c>
      <c r="B62" s="4">
        <f t="shared" ref="B62:L71" si="18">IF($D20=B$60,$D34,IF($C20=B$60,$D34,$C$44))</f>
        <v>36.5</v>
      </c>
      <c r="C62" s="4">
        <f t="shared" si="18"/>
        <v>36.5</v>
      </c>
      <c r="D62" s="4">
        <f t="shared" si="18"/>
        <v>36.5</v>
      </c>
      <c r="E62" s="4">
        <f t="shared" si="18"/>
        <v>36.5</v>
      </c>
      <c r="F62" s="4">
        <f t="shared" si="18"/>
        <v>36.5</v>
      </c>
      <c r="G62" s="4">
        <f t="shared" si="18"/>
        <v>36.5</v>
      </c>
      <c r="H62" s="4">
        <f t="shared" si="18"/>
        <v>36.5</v>
      </c>
      <c r="I62" s="4">
        <f t="shared" si="18"/>
        <v>36.5</v>
      </c>
      <c r="J62" s="4">
        <f t="shared" si="18"/>
        <v>36.5</v>
      </c>
      <c r="K62" s="4">
        <f t="shared" si="18"/>
        <v>36.5</v>
      </c>
      <c r="L62" s="4">
        <f t="shared" si="18"/>
        <v>36.5</v>
      </c>
    </row>
    <row r="63" spans="1:12" x14ac:dyDescent="0.25">
      <c r="A63" s="4" t="str">
        <f t="shared" si="16"/>
        <v>C</v>
      </c>
      <c r="B63" s="4">
        <f t="shared" si="18"/>
        <v>36.5</v>
      </c>
      <c r="C63" s="4">
        <f t="shared" si="18"/>
        <v>36.5</v>
      </c>
      <c r="D63" s="4">
        <f t="shared" si="18"/>
        <v>36.5</v>
      </c>
      <c r="E63" s="4">
        <f t="shared" si="18"/>
        <v>36.5</v>
      </c>
      <c r="F63" s="4">
        <f t="shared" si="18"/>
        <v>36.5</v>
      </c>
      <c r="G63" s="4">
        <f t="shared" si="18"/>
        <v>36.5</v>
      </c>
      <c r="H63" s="4">
        <f t="shared" si="18"/>
        <v>36.5</v>
      </c>
      <c r="I63" s="4">
        <f t="shared" si="18"/>
        <v>36.5</v>
      </c>
      <c r="J63" s="4">
        <f t="shared" si="18"/>
        <v>36.5</v>
      </c>
      <c r="K63" s="4">
        <f t="shared" si="18"/>
        <v>36.5</v>
      </c>
      <c r="L63" s="4">
        <f t="shared" si="18"/>
        <v>36.5</v>
      </c>
    </row>
    <row r="64" spans="1:12" x14ac:dyDescent="0.25">
      <c r="A64" s="4" t="str">
        <f t="shared" si="16"/>
        <v>D</v>
      </c>
      <c r="B64" s="4">
        <f t="shared" si="18"/>
        <v>36.5</v>
      </c>
      <c r="C64" s="4">
        <f t="shared" si="18"/>
        <v>36.5</v>
      </c>
      <c r="D64" s="4">
        <f t="shared" si="18"/>
        <v>2</v>
      </c>
      <c r="E64" s="4">
        <f t="shared" si="18"/>
        <v>36.5</v>
      </c>
      <c r="F64" s="4">
        <f t="shared" si="18"/>
        <v>36.5</v>
      </c>
      <c r="G64" s="4">
        <f t="shared" si="18"/>
        <v>36.5</v>
      </c>
      <c r="H64" s="4">
        <f t="shared" si="18"/>
        <v>36.5</v>
      </c>
      <c r="I64" s="4">
        <f t="shared" si="18"/>
        <v>36.5</v>
      </c>
      <c r="J64" s="4">
        <f t="shared" si="18"/>
        <v>36.5</v>
      </c>
      <c r="K64" s="4">
        <f t="shared" si="18"/>
        <v>36.5</v>
      </c>
      <c r="L64" s="4">
        <f t="shared" si="18"/>
        <v>36.5</v>
      </c>
    </row>
    <row r="65" spans="1:12" x14ac:dyDescent="0.25">
      <c r="A65" s="4" t="str">
        <f t="shared" si="16"/>
        <v>E</v>
      </c>
      <c r="B65" s="4">
        <f t="shared" si="18"/>
        <v>36.5</v>
      </c>
      <c r="C65" s="4">
        <f t="shared" si="18"/>
        <v>9</v>
      </c>
      <c r="D65" s="4">
        <f t="shared" si="18"/>
        <v>36.5</v>
      </c>
      <c r="E65" s="4">
        <f t="shared" si="18"/>
        <v>9</v>
      </c>
      <c r="F65" s="4">
        <f t="shared" si="18"/>
        <v>36.5</v>
      </c>
      <c r="G65" s="4">
        <f t="shared" si="18"/>
        <v>36.5</v>
      </c>
      <c r="H65" s="4">
        <f t="shared" si="18"/>
        <v>36.5</v>
      </c>
      <c r="I65" s="4">
        <f t="shared" si="18"/>
        <v>36.5</v>
      </c>
      <c r="J65" s="4">
        <f t="shared" si="18"/>
        <v>36.5</v>
      </c>
      <c r="K65" s="4">
        <f t="shared" si="18"/>
        <v>36.5</v>
      </c>
      <c r="L65" s="4">
        <f t="shared" si="18"/>
        <v>36.5</v>
      </c>
    </row>
    <row r="66" spans="1:12" x14ac:dyDescent="0.25">
      <c r="A66" s="4" t="str">
        <f t="shared" si="16"/>
        <v>F</v>
      </c>
      <c r="B66" s="4">
        <f t="shared" si="18"/>
        <v>13</v>
      </c>
      <c r="C66" s="4">
        <f t="shared" si="18"/>
        <v>36.5</v>
      </c>
      <c r="D66" s="4">
        <f t="shared" si="18"/>
        <v>36.5</v>
      </c>
      <c r="E66" s="4">
        <f t="shared" si="18"/>
        <v>36.5</v>
      </c>
      <c r="F66" s="4">
        <f t="shared" si="18"/>
        <v>13</v>
      </c>
      <c r="G66" s="4">
        <f t="shared" si="18"/>
        <v>36.5</v>
      </c>
      <c r="H66" s="4">
        <f t="shared" si="18"/>
        <v>36.5</v>
      </c>
      <c r="I66" s="4">
        <f t="shared" si="18"/>
        <v>36.5</v>
      </c>
      <c r="J66" s="4">
        <f t="shared" si="18"/>
        <v>36.5</v>
      </c>
      <c r="K66" s="4">
        <f t="shared" si="18"/>
        <v>36.5</v>
      </c>
      <c r="L66" s="4">
        <f t="shared" si="18"/>
        <v>36.5</v>
      </c>
    </row>
    <row r="67" spans="1:12" x14ac:dyDescent="0.25">
      <c r="A67" s="4" t="str">
        <f t="shared" si="16"/>
        <v>G</v>
      </c>
      <c r="B67" s="4">
        <f t="shared" si="18"/>
        <v>15.5</v>
      </c>
      <c r="C67" s="4">
        <f t="shared" si="18"/>
        <v>36.5</v>
      </c>
      <c r="D67" s="4">
        <f t="shared" si="18"/>
        <v>36.5</v>
      </c>
      <c r="E67" s="4">
        <f t="shared" si="18"/>
        <v>36.5</v>
      </c>
      <c r="F67" s="4">
        <f t="shared" si="18"/>
        <v>15.5</v>
      </c>
      <c r="G67" s="4">
        <f t="shared" si="18"/>
        <v>36.5</v>
      </c>
      <c r="H67" s="4">
        <f t="shared" si="18"/>
        <v>36.5</v>
      </c>
      <c r="I67" s="4">
        <f t="shared" si="18"/>
        <v>36.5</v>
      </c>
      <c r="J67" s="4">
        <f t="shared" si="18"/>
        <v>36.5</v>
      </c>
      <c r="K67" s="4">
        <f t="shared" si="18"/>
        <v>36.5</v>
      </c>
      <c r="L67" s="4">
        <f t="shared" si="18"/>
        <v>36.5</v>
      </c>
    </row>
    <row r="68" spans="1:12" x14ac:dyDescent="0.25">
      <c r="A68" s="4" t="str">
        <f t="shared" si="16"/>
        <v>H</v>
      </c>
      <c r="B68" s="4">
        <f t="shared" si="18"/>
        <v>36.5</v>
      </c>
      <c r="C68" s="4">
        <f t="shared" si="18"/>
        <v>36.5</v>
      </c>
      <c r="D68" s="4">
        <f t="shared" si="18"/>
        <v>36.5</v>
      </c>
      <c r="E68" s="4">
        <f t="shared" si="18"/>
        <v>36.5</v>
      </c>
      <c r="F68" s="4">
        <f t="shared" si="18"/>
        <v>36.5</v>
      </c>
      <c r="G68" s="4">
        <f t="shared" si="18"/>
        <v>23</v>
      </c>
      <c r="H68" s="4">
        <f t="shared" si="18"/>
        <v>36.5</v>
      </c>
      <c r="I68" s="4">
        <f t="shared" si="18"/>
        <v>36.5</v>
      </c>
      <c r="J68" s="4">
        <f t="shared" si="18"/>
        <v>36.5</v>
      </c>
      <c r="K68" s="4">
        <f t="shared" si="18"/>
        <v>36.5</v>
      </c>
      <c r="L68" s="4">
        <f t="shared" si="18"/>
        <v>36.5</v>
      </c>
    </row>
    <row r="69" spans="1:12" x14ac:dyDescent="0.25">
      <c r="A69" s="4" t="str">
        <f t="shared" si="16"/>
        <v>I</v>
      </c>
      <c r="B69" s="4">
        <f t="shared" si="18"/>
        <v>36.5</v>
      </c>
      <c r="C69" s="4">
        <f t="shared" si="18"/>
        <v>36.5</v>
      </c>
      <c r="D69" s="4">
        <f t="shared" si="18"/>
        <v>36.5</v>
      </c>
      <c r="E69" s="4">
        <f t="shared" si="18"/>
        <v>36.5</v>
      </c>
      <c r="F69" s="4">
        <f t="shared" si="18"/>
        <v>36.5</v>
      </c>
      <c r="G69" s="4">
        <f t="shared" si="18"/>
        <v>36.5</v>
      </c>
      <c r="H69" s="4">
        <f t="shared" si="18"/>
        <v>18</v>
      </c>
      <c r="I69" s="4">
        <f t="shared" si="18"/>
        <v>36.5</v>
      </c>
      <c r="J69" s="4">
        <f t="shared" si="18"/>
        <v>36.5</v>
      </c>
      <c r="K69" s="4">
        <f t="shared" si="18"/>
        <v>36.5</v>
      </c>
      <c r="L69" s="4">
        <f t="shared" si="18"/>
        <v>36.5</v>
      </c>
    </row>
    <row r="70" spans="1:12" x14ac:dyDescent="0.25">
      <c r="A70" s="4" t="str">
        <f t="shared" si="16"/>
        <v>J</v>
      </c>
      <c r="B70" s="4">
        <f t="shared" si="18"/>
        <v>36.5</v>
      </c>
      <c r="C70" s="4">
        <f t="shared" si="18"/>
        <v>36.5</v>
      </c>
      <c r="D70" s="4">
        <f t="shared" si="18"/>
        <v>36.5</v>
      </c>
      <c r="E70" s="4">
        <f t="shared" si="18"/>
        <v>36.5</v>
      </c>
      <c r="F70" s="4">
        <f t="shared" si="18"/>
        <v>36.5</v>
      </c>
      <c r="G70" s="4">
        <f t="shared" si="18"/>
        <v>36.5</v>
      </c>
      <c r="H70" s="4">
        <f t="shared" si="18"/>
        <v>20</v>
      </c>
      <c r="I70" s="4">
        <f t="shared" si="18"/>
        <v>36.5</v>
      </c>
      <c r="J70" s="4">
        <f t="shared" si="18"/>
        <v>36.5</v>
      </c>
      <c r="K70" s="4">
        <f t="shared" si="18"/>
        <v>36.5</v>
      </c>
      <c r="L70" s="4">
        <f t="shared" si="18"/>
        <v>36.5</v>
      </c>
    </row>
    <row r="71" spans="1:12" x14ac:dyDescent="0.25">
      <c r="A71" s="4" t="str">
        <f t="shared" si="16"/>
        <v>K</v>
      </c>
      <c r="B71" s="4">
        <f t="shared" si="18"/>
        <v>36.5</v>
      </c>
      <c r="C71" s="4">
        <f t="shared" si="18"/>
        <v>36.5</v>
      </c>
      <c r="D71" s="4">
        <f t="shared" si="18"/>
        <v>36.5</v>
      </c>
      <c r="E71" s="4">
        <f t="shared" si="18"/>
        <v>36.5</v>
      </c>
      <c r="F71" s="4">
        <f t="shared" si="18"/>
        <v>36.5</v>
      </c>
      <c r="G71" s="4">
        <f t="shared" si="18"/>
        <v>36.5</v>
      </c>
      <c r="H71" s="4">
        <f t="shared" si="18"/>
        <v>36.5</v>
      </c>
      <c r="I71" s="4">
        <f t="shared" si="18"/>
        <v>29</v>
      </c>
      <c r="J71" s="4">
        <f t="shared" si="18"/>
        <v>29</v>
      </c>
      <c r="K71" s="4">
        <f t="shared" si="18"/>
        <v>36.5</v>
      </c>
      <c r="L71" s="4">
        <f t="shared" si="18"/>
        <v>36.5</v>
      </c>
    </row>
    <row r="72" spans="1:12" x14ac:dyDescent="0.25">
      <c r="B72" s="4">
        <f>MIN(B61:B71)</f>
        <v>13</v>
      </c>
      <c r="C72" s="4">
        <f t="shared" ref="C72:L72" si="19">MIN(C61:C71)</f>
        <v>9</v>
      </c>
      <c r="D72" s="4">
        <f t="shared" si="19"/>
        <v>2</v>
      </c>
      <c r="E72" s="4">
        <f t="shared" si="19"/>
        <v>9</v>
      </c>
      <c r="F72" s="4">
        <f t="shared" si="19"/>
        <v>13</v>
      </c>
      <c r="G72" s="4">
        <f t="shared" si="19"/>
        <v>23</v>
      </c>
      <c r="H72" s="4">
        <f t="shared" si="19"/>
        <v>18</v>
      </c>
      <c r="I72" s="4">
        <f t="shared" si="19"/>
        <v>29</v>
      </c>
      <c r="J72" s="4">
        <f t="shared" si="19"/>
        <v>29</v>
      </c>
      <c r="K72" s="4">
        <f t="shared" si="19"/>
        <v>36.5</v>
      </c>
      <c r="L72" s="4">
        <f t="shared" si="19"/>
        <v>36.5</v>
      </c>
    </row>
  </sheetData>
  <conditionalFormatting sqref="F33:F43">
    <cfRule type="cellIs" dxfId="3" priority="1" stopIfTrue="1" operator="equal">
      <formula>0</formula>
    </cfRule>
  </conditionalFormatting>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2"/>
  <sheetViews>
    <sheetView tabSelected="1" zoomScaleNormal="100" workbookViewId="0">
      <selection activeCell="K30" sqref="K30"/>
    </sheetView>
  </sheetViews>
  <sheetFormatPr defaultRowHeight="15" x14ac:dyDescent="0.25"/>
  <cols>
    <col min="1" max="1" width="9.140625" style="4"/>
    <col min="2" max="6" width="8.7109375" style="4" customWidth="1"/>
    <col min="7" max="7" width="11.42578125" style="4" customWidth="1"/>
    <col min="8" max="10" width="9.140625" style="4"/>
    <col min="11" max="11" width="16.85546875" style="4" customWidth="1"/>
    <col min="12" max="12" width="1.140625" style="4" customWidth="1"/>
    <col min="13" max="16384" width="9.140625" style="4"/>
  </cols>
  <sheetData>
    <row r="1" spans="1:8" ht="19.5" x14ac:dyDescent="0.3">
      <c r="A1" s="2" t="s">
        <v>93</v>
      </c>
      <c r="B1" s="5"/>
      <c r="C1" s="5"/>
      <c r="D1" s="5" t="s">
        <v>125</v>
      </c>
      <c r="E1" s="5"/>
      <c r="F1" s="5"/>
      <c r="G1" s="5"/>
      <c r="H1" s="5"/>
    </row>
    <row r="2" spans="1:8" x14ac:dyDescent="0.25">
      <c r="A2" s="3"/>
      <c r="B2" s="3"/>
    </row>
    <row r="4" spans="1:8" ht="15.75" thickBot="1" x14ac:dyDescent="0.3">
      <c r="A4" s="6" t="s">
        <v>4</v>
      </c>
    </row>
    <row r="5" spans="1:8" x14ac:dyDescent="0.25">
      <c r="A5" s="8" t="s">
        <v>106</v>
      </c>
      <c r="B5" s="48" t="s">
        <v>118</v>
      </c>
      <c r="C5" s="48" t="s">
        <v>119</v>
      </c>
      <c r="D5" s="48" t="s">
        <v>127</v>
      </c>
      <c r="E5" s="49"/>
      <c r="F5" s="54" t="s">
        <v>120</v>
      </c>
      <c r="G5" s="55" t="s">
        <v>121</v>
      </c>
      <c r="H5" s="58" t="s">
        <v>122</v>
      </c>
    </row>
    <row r="6" spans="1:8" x14ac:dyDescent="0.25">
      <c r="A6" s="10" t="s">
        <v>95</v>
      </c>
      <c r="B6" s="47">
        <v>3</v>
      </c>
      <c r="C6" s="47">
        <v>6</v>
      </c>
      <c r="D6" s="47">
        <v>6</v>
      </c>
      <c r="E6" s="78" t="str">
        <f>IF(A6&lt;&gt;TRIM(A6),"WARNING: There are blank characters in the activity name","")</f>
        <v/>
      </c>
      <c r="F6" s="53">
        <f>(B6+4*C6+D6)/6</f>
        <v>5.5</v>
      </c>
      <c r="G6" s="52">
        <f>(D6-B6)/6</f>
        <v>0.5</v>
      </c>
      <c r="H6" s="70">
        <f>G6^2</f>
        <v>0.25</v>
      </c>
    </row>
    <row r="7" spans="1:8" x14ac:dyDescent="0.25">
      <c r="A7" s="10" t="s">
        <v>96</v>
      </c>
      <c r="B7" s="47">
        <v>5</v>
      </c>
      <c r="C7" s="47">
        <v>8</v>
      </c>
      <c r="D7" s="47">
        <v>11</v>
      </c>
      <c r="E7" s="78" t="str">
        <f t="shared" ref="E7:E14" si="0">IF(A7&lt;&gt;TRIM(A7),"WARNING: There are blank characters in the activity name","")</f>
        <v/>
      </c>
      <c r="F7" s="53">
        <f t="shared" ref="F7:F14" si="1">(B7+4*C7+D7)/6</f>
        <v>8</v>
      </c>
      <c r="G7" s="52">
        <f t="shared" ref="G7:G14" si="2">(D7-B7)/6</f>
        <v>1</v>
      </c>
      <c r="H7" s="70">
        <f t="shared" ref="H7:H14" si="3">G7^2</f>
        <v>1</v>
      </c>
    </row>
    <row r="8" spans="1:8" x14ac:dyDescent="0.25">
      <c r="A8" s="10" t="s">
        <v>97</v>
      </c>
      <c r="B8" s="47">
        <v>5</v>
      </c>
      <c r="C8" s="47">
        <v>6</v>
      </c>
      <c r="D8" s="47">
        <v>10</v>
      </c>
      <c r="E8" s="78" t="str">
        <f t="shared" si="0"/>
        <v/>
      </c>
      <c r="F8" s="53">
        <f t="shared" si="1"/>
        <v>6.5</v>
      </c>
      <c r="G8" s="52">
        <f t="shared" si="2"/>
        <v>0.83333333333333337</v>
      </c>
      <c r="H8" s="70">
        <f t="shared" si="3"/>
        <v>0.69444444444444453</v>
      </c>
    </row>
    <row r="9" spans="1:8" x14ac:dyDescent="0.25">
      <c r="A9" s="10" t="s">
        <v>98</v>
      </c>
      <c r="B9" s="47">
        <v>1</v>
      </c>
      <c r="C9" s="47">
        <v>2</v>
      </c>
      <c r="D9" s="47">
        <v>6</v>
      </c>
      <c r="E9" s="78" t="str">
        <f t="shared" si="0"/>
        <v/>
      </c>
      <c r="F9" s="53">
        <f t="shared" si="1"/>
        <v>2.5</v>
      </c>
      <c r="G9" s="52">
        <f t="shared" si="2"/>
        <v>0.83333333333333337</v>
      </c>
      <c r="H9" s="70">
        <f t="shared" si="3"/>
        <v>0.69444444444444453</v>
      </c>
    </row>
    <row r="10" spans="1:8" x14ac:dyDescent="0.25">
      <c r="A10" s="10" t="s">
        <v>99</v>
      </c>
      <c r="B10" s="47">
        <v>7</v>
      </c>
      <c r="C10" s="47">
        <v>11</v>
      </c>
      <c r="D10" s="47">
        <v>15</v>
      </c>
      <c r="E10" s="78" t="str">
        <f t="shared" si="0"/>
        <v/>
      </c>
      <c r="F10" s="53">
        <f t="shared" si="1"/>
        <v>11</v>
      </c>
      <c r="G10" s="52">
        <f t="shared" si="2"/>
        <v>1.3333333333333333</v>
      </c>
      <c r="H10" s="70">
        <f t="shared" si="3"/>
        <v>1.7777777777777777</v>
      </c>
    </row>
    <row r="11" spans="1:8" x14ac:dyDescent="0.25">
      <c r="A11" s="10" t="s">
        <v>100</v>
      </c>
      <c r="B11" s="47">
        <v>7</v>
      </c>
      <c r="C11" s="47">
        <v>9</v>
      </c>
      <c r="D11" s="47">
        <v>14</v>
      </c>
      <c r="E11" s="78" t="str">
        <f t="shared" si="0"/>
        <v/>
      </c>
      <c r="F11" s="53">
        <f t="shared" si="1"/>
        <v>9.5</v>
      </c>
      <c r="G11" s="52">
        <f t="shared" si="2"/>
        <v>1.1666666666666667</v>
      </c>
      <c r="H11" s="70">
        <f t="shared" si="3"/>
        <v>1.3611111111111114</v>
      </c>
    </row>
    <row r="12" spans="1:8" x14ac:dyDescent="0.25">
      <c r="A12" s="10" t="s">
        <v>101</v>
      </c>
      <c r="B12" s="47">
        <v>6</v>
      </c>
      <c r="C12" s="47">
        <v>8</v>
      </c>
      <c r="D12" s="47">
        <v>10</v>
      </c>
      <c r="E12" s="78" t="str">
        <f t="shared" si="0"/>
        <v/>
      </c>
      <c r="F12" s="53">
        <f t="shared" si="1"/>
        <v>8</v>
      </c>
      <c r="G12" s="52">
        <f t="shared" si="2"/>
        <v>0.66666666666666663</v>
      </c>
      <c r="H12" s="70">
        <f t="shared" si="3"/>
        <v>0.44444444444444442</v>
      </c>
    </row>
    <row r="13" spans="1:8" x14ac:dyDescent="0.25">
      <c r="A13" s="10" t="s">
        <v>102</v>
      </c>
      <c r="B13" s="47">
        <v>3</v>
      </c>
      <c r="C13" s="47">
        <v>4</v>
      </c>
      <c r="D13" s="47">
        <v>8</v>
      </c>
      <c r="E13" s="78" t="str">
        <f t="shared" si="0"/>
        <v/>
      </c>
      <c r="F13" s="53">
        <f t="shared" si="1"/>
        <v>4.5</v>
      </c>
      <c r="G13" s="52">
        <f t="shared" si="2"/>
        <v>0.83333333333333337</v>
      </c>
      <c r="H13" s="70">
        <f t="shared" si="3"/>
        <v>0.69444444444444453</v>
      </c>
    </row>
    <row r="14" spans="1:8" ht="15.75" thickBot="1" x14ac:dyDescent="0.3">
      <c r="A14" s="10" t="s">
        <v>103</v>
      </c>
      <c r="B14" s="47">
        <v>3</v>
      </c>
      <c r="C14" s="47">
        <v>5</v>
      </c>
      <c r="D14" s="47">
        <v>7</v>
      </c>
      <c r="E14" s="78" t="str">
        <f t="shared" si="0"/>
        <v/>
      </c>
      <c r="F14" s="56">
        <f t="shared" si="1"/>
        <v>5</v>
      </c>
      <c r="G14" s="57">
        <f t="shared" si="2"/>
        <v>0.66666666666666663</v>
      </c>
      <c r="H14" s="59">
        <f t="shared" si="3"/>
        <v>0.44444444444444442</v>
      </c>
    </row>
    <row r="15" spans="1:8" x14ac:dyDescent="0.25">
      <c r="A15" s="74" t="s">
        <v>126</v>
      </c>
      <c r="B15" s="61"/>
      <c r="C15" s="61" t="s">
        <v>94</v>
      </c>
      <c r="D15" s="61"/>
      <c r="E15" s="75"/>
    </row>
    <row r="16" spans="1:8" x14ac:dyDescent="0.25">
      <c r="A16" s="10" t="s">
        <v>106</v>
      </c>
      <c r="B16" s="61" t="s">
        <v>107</v>
      </c>
      <c r="C16" s="61" t="s">
        <v>108</v>
      </c>
      <c r="D16" s="61" t="s">
        <v>109</v>
      </c>
      <c r="E16" s="75" t="s">
        <v>135</v>
      </c>
    </row>
    <row r="17" spans="1:14" x14ac:dyDescent="0.25">
      <c r="A17" s="10" t="str">
        <f t="shared" ref="A17:A25" si="4">A6</f>
        <v>A</v>
      </c>
      <c r="B17" s="76">
        <f t="shared" ref="B17:B25" si="5">F6</f>
        <v>5.5</v>
      </c>
      <c r="C17" s="47"/>
      <c r="D17" s="47"/>
      <c r="E17" s="11"/>
    </row>
    <row r="18" spans="1:14" x14ac:dyDescent="0.25">
      <c r="A18" s="10" t="str">
        <f t="shared" si="4"/>
        <v>B</v>
      </c>
      <c r="B18" s="76">
        <f t="shared" si="5"/>
        <v>8</v>
      </c>
      <c r="C18" s="47" t="s">
        <v>95</v>
      </c>
      <c r="D18" s="47"/>
      <c r="E18" s="11"/>
      <c r="G18" s="4" t="s">
        <v>137</v>
      </c>
      <c r="H18" s="4" t="s">
        <v>136</v>
      </c>
      <c r="M18" s="4" t="s">
        <v>144</v>
      </c>
    </row>
    <row r="19" spans="1:14" x14ac:dyDescent="0.25">
      <c r="A19" s="10" t="str">
        <f t="shared" si="4"/>
        <v>C</v>
      </c>
      <c r="B19" s="76">
        <f t="shared" si="5"/>
        <v>6.5</v>
      </c>
      <c r="C19" s="47" t="s">
        <v>95</v>
      </c>
      <c r="D19" s="47"/>
      <c r="E19" s="11"/>
      <c r="G19" s="4" t="s">
        <v>138</v>
      </c>
      <c r="H19" s="4">
        <v>35</v>
      </c>
      <c r="M19" s="4" t="s">
        <v>138</v>
      </c>
      <c r="N19" s="4">
        <v>35</v>
      </c>
    </row>
    <row r="20" spans="1:14" x14ac:dyDescent="0.25">
      <c r="A20" s="10" t="str">
        <f t="shared" si="4"/>
        <v>D</v>
      </c>
      <c r="B20" s="76">
        <f t="shared" si="5"/>
        <v>2.5</v>
      </c>
      <c r="C20" s="47" t="s">
        <v>96</v>
      </c>
      <c r="D20" s="47" t="s">
        <v>97</v>
      </c>
      <c r="E20" s="11"/>
      <c r="G20" s="4" t="s">
        <v>139</v>
      </c>
      <c r="H20" s="4">
        <f>I39</f>
        <v>2.1081851067789197</v>
      </c>
      <c r="M20" s="4" t="s">
        <v>139</v>
      </c>
      <c r="N20" s="4">
        <f>H20</f>
        <v>2.1081851067789197</v>
      </c>
    </row>
    <row r="21" spans="1:14" x14ac:dyDescent="0.25">
      <c r="A21" s="10" t="str">
        <f t="shared" si="4"/>
        <v>E</v>
      </c>
      <c r="B21" s="76">
        <f t="shared" si="5"/>
        <v>11</v>
      </c>
      <c r="C21" s="47" t="s">
        <v>98</v>
      </c>
      <c r="D21" s="47"/>
      <c r="E21" s="11"/>
      <c r="G21" s="4" t="s">
        <v>140</v>
      </c>
      <c r="H21" s="4">
        <v>34</v>
      </c>
      <c r="M21" s="4" t="s">
        <v>140</v>
      </c>
      <c r="N21" s="4">
        <v>29</v>
      </c>
    </row>
    <row r="22" spans="1:14" x14ac:dyDescent="0.25">
      <c r="A22" s="10" t="str">
        <f t="shared" si="4"/>
        <v>F</v>
      </c>
      <c r="B22" s="76">
        <f t="shared" si="5"/>
        <v>9.5</v>
      </c>
      <c r="C22" s="47" t="s">
        <v>98</v>
      </c>
      <c r="D22" s="47"/>
      <c r="E22" s="11"/>
      <c r="G22" s="4" t="s">
        <v>141</v>
      </c>
      <c r="H22" s="4">
        <f>(H21-H19)/H20</f>
        <v>-0.47434164902525688</v>
      </c>
      <c r="M22" s="4" t="s">
        <v>141</v>
      </c>
      <c r="N22" s="4">
        <f>(N21-N19)/N20</f>
        <v>-2.8460498941515411</v>
      </c>
    </row>
    <row r="23" spans="1:14" x14ac:dyDescent="0.25">
      <c r="A23" s="10" t="str">
        <f t="shared" si="4"/>
        <v>G</v>
      </c>
      <c r="B23" s="76">
        <f t="shared" si="5"/>
        <v>8</v>
      </c>
      <c r="C23" s="47" t="s">
        <v>98</v>
      </c>
      <c r="D23" s="47"/>
      <c r="E23" s="11"/>
      <c r="G23" s="4" t="s">
        <v>142</v>
      </c>
      <c r="H23" s="4">
        <f>_xlfn.NORM.S.DIST(H22,TRUE)</f>
        <v>0.31762814799862416</v>
      </c>
      <c r="M23" s="4" t="s">
        <v>142</v>
      </c>
      <c r="N23" s="4">
        <f>1-_xlfn.NORM.S.DIST(N22,TRUE)</f>
        <v>0.99778673707104004</v>
      </c>
    </row>
    <row r="24" spans="1:14" x14ac:dyDescent="0.25">
      <c r="A24" s="10" t="str">
        <f t="shared" si="4"/>
        <v>H</v>
      </c>
      <c r="B24" s="76">
        <f t="shared" si="5"/>
        <v>4.5</v>
      </c>
      <c r="C24" s="47" t="s">
        <v>100</v>
      </c>
      <c r="D24" s="47" t="s">
        <v>101</v>
      </c>
      <c r="E24" s="11"/>
      <c r="H24" s="4" t="s">
        <v>143</v>
      </c>
      <c r="M24" s="4" t="s">
        <v>145</v>
      </c>
    </row>
    <row r="25" spans="1:14" ht="15.75" thickBot="1" x14ac:dyDescent="0.3">
      <c r="A25" s="12" t="str">
        <f t="shared" si="4"/>
        <v>I</v>
      </c>
      <c r="B25" s="77">
        <f t="shared" si="5"/>
        <v>5</v>
      </c>
      <c r="C25" s="50" t="s">
        <v>99</v>
      </c>
      <c r="D25" s="50" t="s">
        <v>100</v>
      </c>
      <c r="E25" s="13" t="s">
        <v>102</v>
      </c>
    </row>
    <row r="27" spans="1:14" ht="15.75" thickBot="1" x14ac:dyDescent="0.3">
      <c r="A27" s="7" t="s">
        <v>5</v>
      </c>
    </row>
    <row r="28" spans="1:14" s="28" customFormat="1" ht="30" x14ac:dyDescent="0.25">
      <c r="A28" s="67" t="s">
        <v>106</v>
      </c>
      <c r="B28" s="68" t="s">
        <v>110</v>
      </c>
      <c r="C28" s="68" t="s">
        <v>111</v>
      </c>
      <c r="D28" s="68" t="s">
        <v>112</v>
      </c>
      <c r="E28" s="68" t="s">
        <v>113</v>
      </c>
      <c r="F28" s="69" t="s">
        <v>114</v>
      </c>
      <c r="H28" s="67" t="s">
        <v>122</v>
      </c>
      <c r="I28" s="69" t="s">
        <v>123</v>
      </c>
    </row>
    <row r="29" spans="1:14" x14ac:dyDescent="0.25">
      <c r="A29" s="53" t="str">
        <f>A17</f>
        <v>A</v>
      </c>
      <c r="B29" s="52">
        <f>MAX(C41:E41)</f>
        <v>0</v>
      </c>
      <c r="C29" s="52">
        <f>B17+B29</f>
        <v>5.5</v>
      </c>
      <c r="D29" s="52">
        <f>E29-B17</f>
        <v>0</v>
      </c>
      <c r="E29" s="52">
        <f>B62</f>
        <v>5.5</v>
      </c>
      <c r="F29" s="70">
        <f>IF(D29-B29&lt;0.00000001,0,D29-B29)</f>
        <v>0</v>
      </c>
      <c r="H29" s="53">
        <f>H6</f>
        <v>0.25</v>
      </c>
      <c r="I29" s="70">
        <f>IF(F29&lt;0.00001,H6,"")</f>
        <v>0.25</v>
      </c>
    </row>
    <row r="30" spans="1:14" x14ac:dyDescent="0.25">
      <c r="A30" s="53" t="str">
        <f t="shared" ref="A30:A37" si="6">A18</f>
        <v>B</v>
      </c>
      <c r="B30" s="52">
        <f t="shared" ref="B30:B37" si="7">MAX(C42:E42)</f>
        <v>5.5</v>
      </c>
      <c r="C30" s="52">
        <f t="shared" ref="C30:C37" si="8">B18+B30</f>
        <v>13.5</v>
      </c>
      <c r="D30" s="52">
        <f t="shared" ref="D30:D37" si="9">E30-B18</f>
        <v>5.5</v>
      </c>
      <c r="E30" s="52">
        <f>C62</f>
        <v>13.5</v>
      </c>
      <c r="F30" s="70">
        <f t="shared" ref="F30:F37" si="10">IF(D30-B30&lt;0.00000001,0,D30-B30)</f>
        <v>0</v>
      </c>
      <c r="H30" s="53">
        <f t="shared" ref="H30:H37" si="11">H7</f>
        <v>1</v>
      </c>
      <c r="I30" s="70">
        <f t="shared" ref="I30:I37" si="12">IF(F30&lt;0.00001,H7,"")</f>
        <v>1</v>
      </c>
    </row>
    <row r="31" spans="1:14" x14ac:dyDescent="0.25">
      <c r="A31" s="53" t="str">
        <f t="shared" si="6"/>
        <v>C</v>
      </c>
      <c r="B31" s="52">
        <f t="shared" si="7"/>
        <v>5.5</v>
      </c>
      <c r="C31" s="52">
        <f t="shared" si="8"/>
        <v>12</v>
      </c>
      <c r="D31" s="52">
        <f t="shared" si="9"/>
        <v>7</v>
      </c>
      <c r="E31" s="52">
        <f>D62</f>
        <v>13.5</v>
      </c>
      <c r="F31" s="70">
        <f t="shared" si="10"/>
        <v>1.5</v>
      </c>
      <c r="H31" s="53">
        <f t="shared" si="11"/>
        <v>0.69444444444444453</v>
      </c>
      <c r="I31" s="70" t="str">
        <f t="shared" si="12"/>
        <v/>
      </c>
    </row>
    <row r="32" spans="1:14" x14ac:dyDescent="0.25">
      <c r="A32" s="53" t="str">
        <f t="shared" si="6"/>
        <v>D</v>
      </c>
      <c r="B32" s="52">
        <f t="shared" si="7"/>
        <v>13.5</v>
      </c>
      <c r="C32" s="52">
        <f t="shared" si="8"/>
        <v>16</v>
      </c>
      <c r="D32" s="52">
        <f t="shared" si="9"/>
        <v>13.5</v>
      </c>
      <c r="E32" s="52">
        <f>E62</f>
        <v>16</v>
      </c>
      <c r="F32" s="70">
        <f t="shared" si="10"/>
        <v>0</v>
      </c>
      <c r="H32" s="53">
        <f t="shared" si="11"/>
        <v>0.69444444444444453</v>
      </c>
      <c r="I32" s="70">
        <f t="shared" si="12"/>
        <v>0.69444444444444453</v>
      </c>
    </row>
    <row r="33" spans="1:9" x14ac:dyDescent="0.25">
      <c r="A33" s="53" t="str">
        <f t="shared" si="6"/>
        <v>E</v>
      </c>
      <c r="B33" s="52">
        <f t="shared" si="7"/>
        <v>16</v>
      </c>
      <c r="C33" s="52">
        <f t="shared" si="8"/>
        <v>27</v>
      </c>
      <c r="D33" s="52">
        <f t="shared" si="9"/>
        <v>19</v>
      </c>
      <c r="E33" s="52">
        <f>F62</f>
        <v>30</v>
      </c>
      <c r="F33" s="70">
        <f t="shared" si="10"/>
        <v>3</v>
      </c>
      <c r="H33" s="53">
        <f t="shared" si="11"/>
        <v>1.7777777777777777</v>
      </c>
      <c r="I33" s="70" t="str">
        <f t="shared" si="12"/>
        <v/>
      </c>
    </row>
    <row r="34" spans="1:9" x14ac:dyDescent="0.25">
      <c r="A34" s="53" t="str">
        <f t="shared" si="6"/>
        <v>F</v>
      </c>
      <c r="B34" s="52">
        <f t="shared" si="7"/>
        <v>16</v>
      </c>
      <c r="C34" s="52">
        <f t="shared" si="8"/>
        <v>25.5</v>
      </c>
      <c r="D34" s="52">
        <f t="shared" si="9"/>
        <v>16</v>
      </c>
      <c r="E34" s="52">
        <f>G62</f>
        <v>25.5</v>
      </c>
      <c r="F34" s="70">
        <f t="shared" si="10"/>
        <v>0</v>
      </c>
      <c r="H34" s="53">
        <f t="shared" si="11"/>
        <v>1.3611111111111114</v>
      </c>
      <c r="I34" s="70">
        <f t="shared" si="12"/>
        <v>1.3611111111111114</v>
      </c>
    </row>
    <row r="35" spans="1:9" x14ac:dyDescent="0.25">
      <c r="A35" s="53" t="str">
        <f t="shared" si="6"/>
        <v>G</v>
      </c>
      <c r="B35" s="52">
        <f t="shared" si="7"/>
        <v>16</v>
      </c>
      <c r="C35" s="52">
        <f t="shared" si="8"/>
        <v>24</v>
      </c>
      <c r="D35" s="52">
        <f t="shared" si="9"/>
        <v>17.5</v>
      </c>
      <c r="E35" s="52">
        <f>H62</f>
        <v>25.5</v>
      </c>
      <c r="F35" s="70">
        <f t="shared" si="10"/>
        <v>1.5</v>
      </c>
      <c r="H35" s="53">
        <f t="shared" si="11"/>
        <v>0.44444444444444442</v>
      </c>
      <c r="I35" s="70" t="str">
        <f t="shared" si="12"/>
        <v/>
      </c>
    </row>
    <row r="36" spans="1:9" x14ac:dyDescent="0.25">
      <c r="A36" s="53" t="str">
        <f t="shared" si="6"/>
        <v>H</v>
      </c>
      <c r="B36" s="52">
        <f t="shared" si="7"/>
        <v>25.5</v>
      </c>
      <c r="C36" s="52">
        <f t="shared" si="8"/>
        <v>30</v>
      </c>
      <c r="D36" s="52">
        <f t="shared" si="9"/>
        <v>25.5</v>
      </c>
      <c r="E36" s="52">
        <f>I62</f>
        <v>30</v>
      </c>
      <c r="F36" s="70">
        <f t="shared" si="10"/>
        <v>0</v>
      </c>
      <c r="H36" s="53">
        <f t="shared" si="11"/>
        <v>0.69444444444444453</v>
      </c>
      <c r="I36" s="70">
        <f t="shared" si="12"/>
        <v>0.69444444444444453</v>
      </c>
    </row>
    <row r="37" spans="1:9" ht="15.75" thickBot="1" x14ac:dyDescent="0.3">
      <c r="A37" s="53" t="str">
        <f t="shared" si="6"/>
        <v>I</v>
      </c>
      <c r="B37" s="52">
        <f t="shared" si="7"/>
        <v>30</v>
      </c>
      <c r="C37" s="52">
        <f t="shared" si="8"/>
        <v>35</v>
      </c>
      <c r="D37" s="52">
        <f t="shared" si="9"/>
        <v>30</v>
      </c>
      <c r="E37" s="52">
        <f>J62</f>
        <v>35</v>
      </c>
      <c r="F37" s="70">
        <f t="shared" si="10"/>
        <v>0</v>
      </c>
      <c r="H37" s="72">
        <f t="shared" si="11"/>
        <v>0.44444444444444442</v>
      </c>
      <c r="I37" s="73">
        <f t="shared" si="12"/>
        <v>0.44444444444444442</v>
      </c>
    </row>
    <row r="38" spans="1:9" ht="15.75" thickBot="1" x14ac:dyDescent="0.3">
      <c r="A38" s="56"/>
      <c r="B38" s="62" t="s">
        <v>115</v>
      </c>
      <c r="C38" s="62">
        <f>MAX(C29:C37)</f>
        <v>35</v>
      </c>
      <c r="D38" s="57"/>
      <c r="E38" s="57"/>
      <c r="F38" s="59"/>
      <c r="H38" s="17" t="s">
        <v>115</v>
      </c>
      <c r="I38" s="20">
        <f>SUM(I29:I37)</f>
        <v>4.4444444444444455</v>
      </c>
    </row>
    <row r="39" spans="1:9" ht="15.75" thickBot="1" x14ac:dyDescent="0.3">
      <c r="H39" s="19" t="s">
        <v>124</v>
      </c>
      <c r="I39" s="22">
        <f>SQRT(I38)</f>
        <v>2.1081851067789197</v>
      </c>
    </row>
    <row r="40" spans="1:9" x14ac:dyDescent="0.25">
      <c r="A40" s="71" t="s">
        <v>116</v>
      </c>
    </row>
    <row r="41" spans="1:9" x14ac:dyDescent="0.25">
      <c r="A41" s="4" t="str">
        <f>A17</f>
        <v>A</v>
      </c>
      <c r="C41" s="4">
        <f>IF(ISNUMBER(VLOOKUP(TRIM(C17),$A$29:$C$37,3,FALSE)),VLOOKUP(TRIM(C17),$A$29:$C$37,3,FALSE),0)</f>
        <v>0</v>
      </c>
      <c r="D41" s="4">
        <f t="shared" ref="D41:E41" si="13">IF(ISNUMBER(VLOOKUP(TRIM(D17),$A$29:$C$37,3,FALSE)),VLOOKUP(TRIM(D17),$A$29:$C$37,3,FALSE),0)</f>
        <v>0</v>
      </c>
      <c r="E41" s="4">
        <f t="shared" si="13"/>
        <v>0</v>
      </c>
    </row>
    <row r="42" spans="1:9" x14ac:dyDescent="0.25">
      <c r="A42" s="4" t="str">
        <f t="shared" ref="A42:A49" si="14">A18</f>
        <v>B</v>
      </c>
      <c r="C42" s="4">
        <f t="shared" ref="C42:E49" si="15">IF(ISNUMBER(VLOOKUP(TRIM(C18),$A$29:$C$37,3,FALSE)),VLOOKUP(TRIM(C18),$A$29:$C$37,3,FALSE),0)</f>
        <v>5.5</v>
      </c>
      <c r="D42" s="4">
        <f t="shared" si="15"/>
        <v>0</v>
      </c>
      <c r="E42" s="4">
        <f t="shared" si="15"/>
        <v>0</v>
      </c>
    </row>
    <row r="43" spans="1:9" x14ac:dyDescent="0.25">
      <c r="A43" s="4" t="str">
        <f t="shared" si="14"/>
        <v>C</v>
      </c>
      <c r="C43" s="4">
        <f t="shared" si="15"/>
        <v>5.5</v>
      </c>
      <c r="D43" s="4">
        <f t="shared" si="15"/>
        <v>0</v>
      </c>
      <c r="E43" s="4">
        <f t="shared" si="15"/>
        <v>0</v>
      </c>
    </row>
    <row r="44" spans="1:9" x14ac:dyDescent="0.25">
      <c r="A44" s="4" t="str">
        <f t="shared" si="14"/>
        <v>D</v>
      </c>
      <c r="C44" s="4">
        <f t="shared" si="15"/>
        <v>13.5</v>
      </c>
      <c r="D44" s="4">
        <f t="shared" si="15"/>
        <v>12</v>
      </c>
      <c r="E44" s="4">
        <f t="shared" si="15"/>
        <v>0</v>
      </c>
    </row>
    <row r="45" spans="1:9" x14ac:dyDescent="0.25">
      <c r="A45" s="4" t="str">
        <f t="shared" si="14"/>
        <v>E</v>
      </c>
      <c r="C45" s="4">
        <f t="shared" si="15"/>
        <v>16</v>
      </c>
      <c r="D45" s="4">
        <f t="shared" si="15"/>
        <v>0</v>
      </c>
      <c r="E45" s="4">
        <f t="shared" si="15"/>
        <v>0</v>
      </c>
    </row>
    <row r="46" spans="1:9" x14ac:dyDescent="0.25">
      <c r="A46" s="4" t="str">
        <f t="shared" si="14"/>
        <v>F</v>
      </c>
      <c r="C46" s="4">
        <f t="shared" si="15"/>
        <v>16</v>
      </c>
      <c r="D46" s="4">
        <f t="shared" si="15"/>
        <v>0</v>
      </c>
      <c r="E46" s="4">
        <f t="shared" si="15"/>
        <v>0</v>
      </c>
    </row>
    <row r="47" spans="1:9" x14ac:dyDescent="0.25">
      <c r="A47" s="4" t="str">
        <f t="shared" si="14"/>
        <v>G</v>
      </c>
      <c r="C47" s="4">
        <f t="shared" si="15"/>
        <v>16</v>
      </c>
      <c r="D47" s="4">
        <f t="shared" si="15"/>
        <v>0</v>
      </c>
      <c r="E47" s="4">
        <f t="shared" si="15"/>
        <v>0</v>
      </c>
    </row>
    <row r="48" spans="1:9" x14ac:dyDescent="0.25">
      <c r="A48" s="4" t="str">
        <f t="shared" si="14"/>
        <v>H</v>
      </c>
      <c r="C48" s="4">
        <f t="shared" si="15"/>
        <v>25.5</v>
      </c>
      <c r="D48" s="4">
        <f t="shared" si="15"/>
        <v>24</v>
      </c>
      <c r="E48" s="4">
        <f t="shared" si="15"/>
        <v>0</v>
      </c>
    </row>
    <row r="49" spans="1:10" x14ac:dyDescent="0.25">
      <c r="A49" s="4" t="str">
        <f t="shared" si="14"/>
        <v>I</v>
      </c>
      <c r="C49" s="4">
        <f t="shared" si="15"/>
        <v>27</v>
      </c>
      <c r="D49" s="4">
        <f t="shared" si="15"/>
        <v>25.5</v>
      </c>
      <c r="E49" s="4">
        <f t="shared" si="15"/>
        <v>30</v>
      </c>
    </row>
    <row r="51" spans="1:10" x14ac:dyDescent="0.25">
      <c r="A51" s="71" t="s">
        <v>117</v>
      </c>
    </row>
    <row r="52" spans="1:10" x14ac:dyDescent="0.25">
      <c r="B52" s="4" t="str">
        <f>A17</f>
        <v>A</v>
      </c>
      <c r="C52" s="4" t="str">
        <f>A18</f>
        <v>B</v>
      </c>
      <c r="D52" s="4" t="str">
        <f>A19</f>
        <v>C</v>
      </c>
      <c r="E52" s="4" t="str">
        <f>A20</f>
        <v>D</v>
      </c>
      <c r="F52" s="4" t="str">
        <f>A21</f>
        <v>E</v>
      </c>
      <c r="G52" s="4" t="str">
        <f>A22</f>
        <v>F</v>
      </c>
      <c r="H52" s="4" t="str">
        <f>A23</f>
        <v>G</v>
      </c>
      <c r="I52" s="4" t="str">
        <f>A24</f>
        <v>H</v>
      </c>
      <c r="J52" s="4" t="str">
        <f>A25</f>
        <v>I</v>
      </c>
    </row>
    <row r="53" spans="1:10" x14ac:dyDescent="0.25">
      <c r="A53" s="4" t="str">
        <f t="shared" ref="A53:A61" si="16">A17</f>
        <v>A</v>
      </c>
      <c r="B53" s="4">
        <f>IF($E17=B$52,$D29,IF($D17=B$52,$D29,IF($C17=B$52,$D29,$C$38)))</f>
        <v>35</v>
      </c>
      <c r="C53" s="4">
        <f t="shared" ref="C53:J53" si="17">IF($E17=C$52,$D29,IF($D17=C$52,$D29,IF($C17=C$52,$D29,$C$38)))</f>
        <v>35</v>
      </c>
      <c r="D53" s="4">
        <f t="shared" si="17"/>
        <v>35</v>
      </c>
      <c r="E53" s="4">
        <f t="shared" si="17"/>
        <v>35</v>
      </c>
      <c r="F53" s="4">
        <f t="shared" si="17"/>
        <v>35</v>
      </c>
      <c r="G53" s="4">
        <f t="shared" si="17"/>
        <v>35</v>
      </c>
      <c r="H53" s="4">
        <f t="shared" si="17"/>
        <v>35</v>
      </c>
      <c r="I53" s="4">
        <f t="shared" si="17"/>
        <v>35</v>
      </c>
      <c r="J53" s="4">
        <f t="shared" si="17"/>
        <v>35</v>
      </c>
    </row>
    <row r="54" spans="1:10" x14ac:dyDescent="0.25">
      <c r="A54" s="4" t="str">
        <f t="shared" si="16"/>
        <v>B</v>
      </c>
      <c r="B54" s="4">
        <f t="shared" ref="B54:J61" si="18">IF($E18=B$52,$D30,IF($D18=B$52,$D30,IF($C18=B$52,$D30,$C$38)))</f>
        <v>5.5</v>
      </c>
      <c r="C54" s="4">
        <f t="shared" si="18"/>
        <v>35</v>
      </c>
      <c r="D54" s="4">
        <f t="shared" si="18"/>
        <v>35</v>
      </c>
      <c r="E54" s="4">
        <f t="shared" si="18"/>
        <v>35</v>
      </c>
      <c r="F54" s="4">
        <f t="shared" si="18"/>
        <v>35</v>
      </c>
      <c r="G54" s="4">
        <f t="shared" si="18"/>
        <v>35</v>
      </c>
      <c r="H54" s="4">
        <f t="shared" si="18"/>
        <v>35</v>
      </c>
      <c r="I54" s="4">
        <f t="shared" si="18"/>
        <v>35</v>
      </c>
      <c r="J54" s="4">
        <f t="shared" si="18"/>
        <v>35</v>
      </c>
    </row>
    <row r="55" spans="1:10" x14ac:dyDescent="0.25">
      <c r="A55" s="4" t="str">
        <f t="shared" si="16"/>
        <v>C</v>
      </c>
      <c r="B55" s="4">
        <f t="shared" si="18"/>
        <v>7</v>
      </c>
      <c r="C55" s="4">
        <f t="shared" si="18"/>
        <v>35</v>
      </c>
      <c r="D55" s="4">
        <f t="shared" si="18"/>
        <v>35</v>
      </c>
      <c r="E55" s="4">
        <f t="shared" si="18"/>
        <v>35</v>
      </c>
      <c r="F55" s="4">
        <f t="shared" si="18"/>
        <v>35</v>
      </c>
      <c r="G55" s="4">
        <f t="shared" si="18"/>
        <v>35</v>
      </c>
      <c r="H55" s="4">
        <f t="shared" si="18"/>
        <v>35</v>
      </c>
      <c r="I55" s="4">
        <f t="shared" si="18"/>
        <v>35</v>
      </c>
      <c r="J55" s="4">
        <f t="shared" si="18"/>
        <v>35</v>
      </c>
    </row>
    <row r="56" spans="1:10" x14ac:dyDescent="0.25">
      <c r="A56" s="4" t="str">
        <f t="shared" si="16"/>
        <v>D</v>
      </c>
      <c r="B56" s="4">
        <f t="shared" si="18"/>
        <v>35</v>
      </c>
      <c r="C56" s="4">
        <f t="shared" si="18"/>
        <v>13.5</v>
      </c>
      <c r="D56" s="4">
        <f t="shared" si="18"/>
        <v>13.5</v>
      </c>
      <c r="E56" s="4">
        <f t="shared" si="18"/>
        <v>35</v>
      </c>
      <c r="F56" s="4">
        <f t="shared" si="18"/>
        <v>35</v>
      </c>
      <c r="G56" s="4">
        <f t="shared" si="18"/>
        <v>35</v>
      </c>
      <c r="H56" s="4">
        <f t="shared" si="18"/>
        <v>35</v>
      </c>
      <c r="I56" s="4">
        <f t="shared" si="18"/>
        <v>35</v>
      </c>
      <c r="J56" s="4">
        <f t="shared" si="18"/>
        <v>35</v>
      </c>
    </row>
    <row r="57" spans="1:10" x14ac:dyDescent="0.25">
      <c r="A57" s="4" t="str">
        <f t="shared" si="16"/>
        <v>E</v>
      </c>
      <c r="B57" s="4">
        <f t="shared" si="18"/>
        <v>35</v>
      </c>
      <c r="C57" s="4">
        <f t="shared" si="18"/>
        <v>35</v>
      </c>
      <c r="D57" s="4">
        <f t="shared" si="18"/>
        <v>35</v>
      </c>
      <c r="E57" s="4">
        <f t="shared" si="18"/>
        <v>19</v>
      </c>
      <c r="F57" s="4">
        <f t="shared" si="18"/>
        <v>35</v>
      </c>
      <c r="G57" s="4">
        <f t="shared" si="18"/>
        <v>35</v>
      </c>
      <c r="H57" s="4">
        <f t="shared" si="18"/>
        <v>35</v>
      </c>
      <c r="I57" s="4">
        <f t="shared" si="18"/>
        <v>35</v>
      </c>
      <c r="J57" s="4">
        <f t="shared" si="18"/>
        <v>35</v>
      </c>
    </row>
    <row r="58" spans="1:10" x14ac:dyDescent="0.25">
      <c r="A58" s="4" t="str">
        <f t="shared" si="16"/>
        <v>F</v>
      </c>
      <c r="B58" s="4">
        <f t="shared" si="18"/>
        <v>35</v>
      </c>
      <c r="C58" s="4">
        <f t="shared" si="18"/>
        <v>35</v>
      </c>
      <c r="D58" s="4">
        <f t="shared" si="18"/>
        <v>35</v>
      </c>
      <c r="E58" s="4">
        <f t="shared" si="18"/>
        <v>16</v>
      </c>
      <c r="F58" s="4">
        <f t="shared" si="18"/>
        <v>35</v>
      </c>
      <c r="G58" s="4">
        <f t="shared" si="18"/>
        <v>35</v>
      </c>
      <c r="H58" s="4">
        <f t="shared" si="18"/>
        <v>35</v>
      </c>
      <c r="I58" s="4">
        <f t="shared" si="18"/>
        <v>35</v>
      </c>
      <c r="J58" s="4">
        <f t="shared" si="18"/>
        <v>35</v>
      </c>
    </row>
    <row r="59" spans="1:10" x14ac:dyDescent="0.25">
      <c r="A59" s="4" t="str">
        <f t="shared" si="16"/>
        <v>G</v>
      </c>
      <c r="B59" s="4">
        <f t="shared" si="18"/>
        <v>35</v>
      </c>
      <c r="C59" s="4">
        <f t="shared" si="18"/>
        <v>35</v>
      </c>
      <c r="D59" s="4">
        <f t="shared" si="18"/>
        <v>35</v>
      </c>
      <c r="E59" s="4">
        <f t="shared" si="18"/>
        <v>17.5</v>
      </c>
      <c r="F59" s="4">
        <f t="shared" si="18"/>
        <v>35</v>
      </c>
      <c r="G59" s="4">
        <f t="shared" si="18"/>
        <v>35</v>
      </c>
      <c r="H59" s="4">
        <f t="shared" si="18"/>
        <v>35</v>
      </c>
      <c r="I59" s="4">
        <f t="shared" si="18"/>
        <v>35</v>
      </c>
      <c r="J59" s="4">
        <f t="shared" si="18"/>
        <v>35</v>
      </c>
    </row>
    <row r="60" spans="1:10" x14ac:dyDescent="0.25">
      <c r="A60" s="4" t="str">
        <f t="shared" si="16"/>
        <v>H</v>
      </c>
      <c r="B60" s="4">
        <f t="shared" si="18"/>
        <v>35</v>
      </c>
      <c r="C60" s="4">
        <f t="shared" si="18"/>
        <v>35</v>
      </c>
      <c r="D60" s="4">
        <f t="shared" si="18"/>
        <v>35</v>
      </c>
      <c r="E60" s="4">
        <f t="shared" si="18"/>
        <v>35</v>
      </c>
      <c r="F60" s="4">
        <f t="shared" si="18"/>
        <v>35</v>
      </c>
      <c r="G60" s="4">
        <f t="shared" si="18"/>
        <v>25.5</v>
      </c>
      <c r="H60" s="4">
        <f t="shared" si="18"/>
        <v>25.5</v>
      </c>
      <c r="I60" s="4">
        <f t="shared" si="18"/>
        <v>35</v>
      </c>
      <c r="J60" s="4">
        <f t="shared" si="18"/>
        <v>35</v>
      </c>
    </row>
    <row r="61" spans="1:10" x14ac:dyDescent="0.25">
      <c r="A61" s="4" t="str">
        <f t="shared" si="16"/>
        <v>I</v>
      </c>
      <c r="B61" s="4">
        <f t="shared" si="18"/>
        <v>35</v>
      </c>
      <c r="C61" s="4">
        <f t="shared" si="18"/>
        <v>35</v>
      </c>
      <c r="D61" s="4">
        <f t="shared" si="18"/>
        <v>35</v>
      </c>
      <c r="E61" s="4">
        <f t="shared" si="18"/>
        <v>35</v>
      </c>
      <c r="F61" s="4">
        <f t="shared" si="18"/>
        <v>30</v>
      </c>
      <c r="G61" s="4">
        <f t="shared" si="18"/>
        <v>30</v>
      </c>
      <c r="H61" s="4">
        <f t="shared" si="18"/>
        <v>35</v>
      </c>
      <c r="I61" s="4">
        <f t="shared" si="18"/>
        <v>30</v>
      </c>
      <c r="J61" s="4">
        <f t="shared" si="18"/>
        <v>35</v>
      </c>
    </row>
    <row r="62" spans="1:10" x14ac:dyDescent="0.25">
      <c r="B62" s="4">
        <f>MIN(B53:B61)</f>
        <v>5.5</v>
      </c>
      <c r="C62" s="4">
        <f t="shared" ref="C62:J62" si="19">MIN(C53:C61)</f>
        <v>13.5</v>
      </c>
      <c r="D62" s="4">
        <f t="shared" si="19"/>
        <v>13.5</v>
      </c>
      <c r="E62" s="4">
        <f t="shared" si="19"/>
        <v>16</v>
      </c>
      <c r="F62" s="4">
        <f t="shared" si="19"/>
        <v>30</v>
      </c>
      <c r="G62" s="4">
        <f t="shared" si="19"/>
        <v>25.5</v>
      </c>
      <c r="H62" s="4">
        <f t="shared" si="19"/>
        <v>25.5</v>
      </c>
      <c r="I62" s="4">
        <f t="shared" si="19"/>
        <v>30</v>
      </c>
      <c r="J62" s="4">
        <f t="shared" si="19"/>
        <v>35</v>
      </c>
    </row>
  </sheetData>
  <conditionalFormatting sqref="F29:F37">
    <cfRule type="cellIs" dxfId="2" priority="1" stopIfTrue="1" operator="equal">
      <formula>0</formula>
    </cfRule>
  </conditionalFormatting>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9"/>
  <dimension ref="A1:AC387"/>
  <sheetViews>
    <sheetView topLeftCell="A2" zoomScaleNormal="100" workbookViewId="0">
      <selection activeCell="G388" sqref="G388"/>
    </sheetView>
  </sheetViews>
  <sheetFormatPr defaultRowHeight="15" x14ac:dyDescent="0.25"/>
  <cols>
    <col min="1" max="1" width="14.28515625" style="80" customWidth="1"/>
    <col min="2" max="2" width="9.7109375" style="80" customWidth="1"/>
    <col min="3" max="3" width="10" style="80" customWidth="1"/>
    <col min="4" max="4" width="9.140625" style="80" customWidth="1"/>
    <col min="5" max="5" width="10.28515625" style="80" customWidth="1"/>
    <col min="6" max="7" width="9.140625" style="80" customWidth="1"/>
    <col min="8" max="8" width="9.42578125" style="80" bestFit="1" customWidth="1"/>
    <col min="9" max="9" width="9.140625" style="80" customWidth="1"/>
    <col min="10" max="10" width="1.7109375" style="80" customWidth="1"/>
    <col min="11" max="12" width="9.140625" style="80" customWidth="1"/>
    <col min="13" max="13" width="9.7109375" style="80" customWidth="1"/>
    <col min="14" max="27" width="9.140625" style="80" customWidth="1"/>
    <col min="28" max="28" width="9.140625" style="81" customWidth="1"/>
    <col min="29" max="16384" width="9.140625" style="80"/>
  </cols>
  <sheetData>
    <row r="1" spans="1:13" ht="19.5" x14ac:dyDescent="0.3">
      <c r="A1" s="129" t="s">
        <v>93</v>
      </c>
      <c r="B1" s="79"/>
      <c r="C1" s="79"/>
      <c r="D1" s="79" t="s">
        <v>146</v>
      </c>
      <c r="E1" s="79"/>
      <c r="F1" s="79"/>
    </row>
    <row r="3" spans="1:13" x14ac:dyDescent="0.25">
      <c r="D3" s="82"/>
      <c r="E3" s="83"/>
      <c r="F3" s="83"/>
      <c r="H3" s="82"/>
      <c r="I3" s="82"/>
      <c r="J3" s="82"/>
      <c r="L3" s="82"/>
      <c r="M3" s="82"/>
    </row>
    <row r="4" spans="1:13" ht="15.75" thickBot="1" x14ac:dyDescent="0.3">
      <c r="D4" s="84" t="s">
        <v>5</v>
      </c>
      <c r="E4" s="83"/>
      <c r="F4" s="83"/>
      <c r="H4" s="85"/>
      <c r="I4" s="85"/>
      <c r="J4" s="85"/>
      <c r="L4" s="85"/>
      <c r="M4" s="85"/>
    </row>
    <row r="5" spans="1:13" x14ac:dyDescent="0.25">
      <c r="A5" s="131" t="s">
        <v>4</v>
      </c>
      <c r="D5" s="86"/>
      <c r="E5" s="87" t="s">
        <v>147</v>
      </c>
      <c r="F5" s="88">
        <f>C71</f>
        <v>17</v>
      </c>
      <c r="H5" s="86"/>
      <c r="I5" s="89"/>
      <c r="J5" s="89"/>
      <c r="K5" s="89"/>
      <c r="L5" s="87" t="s">
        <v>148</v>
      </c>
      <c r="M5" s="90">
        <f>MMULT(B34:J34,L10:L18)</f>
        <v>700</v>
      </c>
    </row>
    <row r="6" spans="1:13" ht="15.75" thickBot="1" x14ac:dyDescent="0.3">
      <c r="A6" s="91" t="s">
        <v>149</v>
      </c>
      <c r="B6" s="92">
        <v>16</v>
      </c>
      <c r="D6" s="93"/>
      <c r="E6" s="94" t="s">
        <v>150</v>
      </c>
      <c r="F6" s="95">
        <f>C122</f>
        <v>10</v>
      </c>
      <c r="H6" s="96"/>
      <c r="I6" s="97"/>
      <c r="J6" s="97"/>
      <c r="K6" s="98"/>
      <c r="L6" s="94" t="s">
        <v>151</v>
      </c>
      <c r="M6" s="95">
        <v>16</v>
      </c>
    </row>
    <row r="7" spans="1:13" x14ac:dyDescent="0.25">
      <c r="A7" s="99" t="str">
        <f>IF(OR(B6&gt;F5,B6&lt;F6),"The project goal must be between the minimum time and the normal time","")</f>
        <v/>
      </c>
    </row>
    <row r="8" spans="1:13" ht="15.75" thickBot="1" x14ac:dyDescent="0.3">
      <c r="F8" s="91" t="s">
        <v>94</v>
      </c>
      <c r="G8" s="100"/>
      <c r="H8" s="83"/>
      <c r="L8" s="101" t="s">
        <v>152</v>
      </c>
      <c r="M8" s="102"/>
    </row>
    <row r="9" spans="1:13" ht="45" x14ac:dyDescent="0.25">
      <c r="A9" s="135" t="s">
        <v>106</v>
      </c>
      <c r="B9" s="136" t="s">
        <v>153</v>
      </c>
      <c r="C9" s="136" t="s">
        <v>154</v>
      </c>
      <c r="D9" s="136" t="s">
        <v>155</v>
      </c>
      <c r="E9" s="136" t="s">
        <v>156</v>
      </c>
      <c r="F9" s="137" t="s">
        <v>108</v>
      </c>
      <c r="G9" s="138" t="s">
        <v>109</v>
      </c>
      <c r="H9" s="138" t="s">
        <v>135</v>
      </c>
      <c r="I9" s="139" t="s">
        <v>157</v>
      </c>
      <c r="J9" s="102"/>
      <c r="K9" s="146" t="s">
        <v>158</v>
      </c>
      <c r="L9" s="103" t="s">
        <v>159</v>
      </c>
      <c r="M9" s="103" t="s">
        <v>160</v>
      </c>
    </row>
    <row r="10" spans="1:13" x14ac:dyDescent="0.25">
      <c r="A10" s="140" t="s">
        <v>95</v>
      </c>
      <c r="B10" s="132">
        <v>3</v>
      </c>
      <c r="C10" s="132">
        <v>2</v>
      </c>
      <c r="D10" s="133">
        <v>8000</v>
      </c>
      <c r="E10" s="133">
        <v>9800</v>
      </c>
      <c r="F10" s="132"/>
      <c r="G10" s="134"/>
      <c r="H10" s="134"/>
      <c r="I10" s="141"/>
      <c r="J10" s="102"/>
      <c r="K10" s="147">
        <f t="array" ref="K10:K18">TRANSPOSE(B34:J34)</f>
        <v>0</v>
      </c>
      <c r="L10" s="102">
        <f t="shared" ref="L10:L18" si="0">IF(ISBLANK(A10),0,IF(B10&lt;&gt;C10,(E10-D10)/(B10-C10),0))</f>
        <v>1800</v>
      </c>
      <c r="M10" s="102">
        <f t="shared" ref="M10:M18" si="1">IF(ISBLANK(A10),0,MAX(0,B10-C10))</f>
        <v>1</v>
      </c>
    </row>
    <row r="11" spans="1:13" x14ac:dyDescent="0.25">
      <c r="A11" s="140" t="s">
        <v>96</v>
      </c>
      <c r="B11" s="132">
        <v>4</v>
      </c>
      <c r="C11" s="132">
        <v>3</v>
      </c>
      <c r="D11" s="133">
        <v>9000</v>
      </c>
      <c r="E11" s="133">
        <v>10000</v>
      </c>
      <c r="F11" s="132"/>
      <c r="G11" s="134"/>
      <c r="H11" s="134"/>
      <c r="I11" s="141"/>
      <c r="J11" s="102"/>
      <c r="K11" s="147">
        <v>0</v>
      </c>
      <c r="L11" s="102">
        <f t="shared" si="0"/>
        <v>1000</v>
      </c>
      <c r="M11" s="102">
        <f t="shared" si="1"/>
        <v>1</v>
      </c>
    </row>
    <row r="12" spans="1:13" x14ac:dyDescent="0.25">
      <c r="A12" s="140" t="s">
        <v>97</v>
      </c>
      <c r="B12" s="132">
        <v>6</v>
      </c>
      <c r="C12" s="132">
        <v>4</v>
      </c>
      <c r="D12" s="133">
        <v>12000</v>
      </c>
      <c r="E12" s="133">
        <v>15000</v>
      </c>
      <c r="F12" s="149" t="s">
        <v>95</v>
      </c>
      <c r="G12" s="134"/>
      <c r="H12" s="134"/>
      <c r="I12" s="141"/>
      <c r="J12" s="102"/>
      <c r="K12" s="147">
        <v>0</v>
      </c>
      <c r="L12" s="102">
        <f t="shared" si="0"/>
        <v>1500</v>
      </c>
      <c r="M12" s="102">
        <f t="shared" si="1"/>
        <v>2</v>
      </c>
    </row>
    <row r="13" spans="1:13" x14ac:dyDescent="0.25">
      <c r="A13" s="140" t="s">
        <v>98</v>
      </c>
      <c r="B13" s="132">
        <v>2</v>
      </c>
      <c r="C13" s="132">
        <v>1</v>
      </c>
      <c r="D13" s="133">
        <v>15000</v>
      </c>
      <c r="E13" s="133">
        <v>15500</v>
      </c>
      <c r="F13" s="149" t="s">
        <v>96</v>
      </c>
      <c r="G13" s="134"/>
      <c r="H13" s="134"/>
      <c r="I13" s="141"/>
      <c r="J13" s="102"/>
      <c r="K13" s="147">
        <v>0</v>
      </c>
      <c r="L13" s="102">
        <f t="shared" si="0"/>
        <v>500</v>
      </c>
      <c r="M13" s="102">
        <f t="shared" si="1"/>
        <v>1</v>
      </c>
    </row>
    <row r="14" spans="1:13" x14ac:dyDescent="0.25">
      <c r="A14" s="140" t="s">
        <v>99</v>
      </c>
      <c r="B14" s="132">
        <v>5</v>
      </c>
      <c r="C14" s="132">
        <v>3</v>
      </c>
      <c r="D14" s="133">
        <v>5000</v>
      </c>
      <c r="E14" s="133">
        <v>8700</v>
      </c>
      <c r="F14" s="149" t="s">
        <v>95</v>
      </c>
      <c r="G14" s="134"/>
      <c r="H14" s="134"/>
      <c r="I14" s="141"/>
      <c r="J14" s="102"/>
      <c r="K14" s="147">
        <v>0</v>
      </c>
      <c r="L14" s="102">
        <f t="shared" si="0"/>
        <v>1850</v>
      </c>
      <c r="M14" s="102">
        <f t="shared" si="1"/>
        <v>2</v>
      </c>
    </row>
    <row r="15" spans="1:13" x14ac:dyDescent="0.25">
      <c r="A15" s="140" t="s">
        <v>100</v>
      </c>
      <c r="B15" s="132">
        <v>2</v>
      </c>
      <c r="C15" s="132">
        <v>1</v>
      </c>
      <c r="D15" s="133">
        <v>7500</v>
      </c>
      <c r="E15" s="133">
        <v>9000</v>
      </c>
      <c r="F15" s="149" t="s">
        <v>97</v>
      </c>
      <c r="G15" s="134"/>
      <c r="H15" s="134"/>
      <c r="I15" s="141"/>
      <c r="J15" s="102"/>
      <c r="K15" s="147">
        <v>0</v>
      </c>
      <c r="L15" s="102">
        <f t="shared" si="0"/>
        <v>1500</v>
      </c>
      <c r="M15" s="102">
        <f t="shared" si="1"/>
        <v>1</v>
      </c>
    </row>
    <row r="16" spans="1:13" x14ac:dyDescent="0.25">
      <c r="A16" s="140" t="s">
        <v>101</v>
      </c>
      <c r="B16" s="132">
        <v>4</v>
      </c>
      <c r="C16" s="132">
        <v>2</v>
      </c>
      <c r="D16" s="133">
        <v>8000</v>
      </c>
      <c r="E16" s="133">
        <v>9400</v>
      </c>
      <c r="F16" s="149" t="s">
        <v>98</v>
      </c>
      <c r="G16" s="134" t="s">
        <v>99</v>
      </c>
      <c r="H16" s="134"/>
      <c r="I16" s="141"/>
      <c r="J16" s="102"/>
      <c r="K16" s="147">
        <v>1</v>
      </c>
      <c r="L16" s="102">
        <f t="shared" si="0"/>
        <v>700</v>
      </c>
      <c r="M16" s="102">
        <f t="shared" si="1"/>
        <v>2</v>
      </c>
    </row>
    <row r="17" spans="1:28" ht="15.75" thickBot="1" x14ac:dyDescent="0.3">
      <c r="A17" s="142" t="s">
        <v>102</v>
      </c>
      <c r="B17" s="143">
        <v>5</v>
      </c>
      <c r="C17" s="143">
        <v>3</v>
      </c>
      <c r="D17" s="144">
        <v>5000</v>
      </c>
      <c r="E17" s="144">
        <v>6600</v>
      </c>
      <c r="F17" s="143" t="s">
        <v>100</v>
      </c>
      <c r="G17" s="143" t="s">
        <v>101</v>
      </c>
      <c r="H17" s="143"/>
      <c r="I17" s="145"/>
      <c r="J17" s="102"/>
      <c r="K17" s="148">
        <v>0</v>
      </c>
      <c r="L17" s="102">
        <f t="shared" si="0"/>
        <v>800</v>
      </c>
      <c r="M17" s="102">
        <f t="shared" si="1"/>
        <v>2</v>
      </c>
      <c r="AB17" s="80"/>
    </row>
    <row r="18" spans="1:28" hidden="1" x14ac:dyDescent="0.25">
      <c r="A18" s="104"/>
      <c r="B18" s="104"/>
      <c r="C18" s="104"/>
      <c r="D18" s="105"/>
      <c r="E18" s="105"/>
      <c r="F18" s="104"/>
      <c r="G18" s="104"/>
      <c r="H18" s="104"/>
      <c r="I18" s="104"/>
      <c r="J18" s="85"/>
      <c r="K18" s="130">
        <v>0</v>
      </c>
      <c r="L18" s="85">
        <f t="shared" si="0"/>
        <v>0</v>
      </c>
      <c r="M18" s="85">
        <f t="shared" si="1"/>
        <v>0</v>
      </c>
      <c r="AB18" s="80"/>
    </row>
    <row r="19" spans="1:28" s="106" customFormat="1" hidden="1" x14ac:dyDescent="0.25">
      <c r="A19" s="82"/>
      <c r="B19" s="82"/>
      <c r="C19" s="82"/>
      <c r="D19" s="82"/>
      <c r="E19" s="82"/>
      <c r="F19" s="82"/>
      <c r="G19" s="82"/>
      <c r="H19" s="82"/>
      <c r="I19" s="82"/>
      <c r="J19" s="82"/>
      <c r="K19" s="82"/>
      <c r="L19" s="82"/>
      <c r="M19" s="82"/>
    </row>
    <row r="20" spans="1:28" s="81" customFormat="1" hidden="1" x14ac:dyDescent="0.25">
      <c r="A20" s="83" t="s">
        <v>161</v>
      </c>
      <c r="B20" s="82">
        <v>1</v>
      </c>
      <c r="C20" s="82">
        <v>2</v>
      </c>
      <c r="D20" s="82">
        <v>3</v>
      </c>
      <c r="E20" s="82">
        <v>4</v>
      </c>
      <c r="F20" s="82">
        <v>5</v>
      </c>
      <c r="G20" s="82">
        <v>6</v>
      </c>
      <c r="H20" s="82">
        <v>7</v>
      </c>
      <c r="I20" s="82">
        <v>8</v>
      </c>
      <c r="J20" s="82">
        <v>9</v>
      </c>
      <c r="K20" s="82"/>
      <c r="L20" s="82"/>
      <c r="M20" s="82"/>
      <c r="N20" s="80"/>
      <c r="O20" s="80"/>
      <c r="P20" s="80"/>
      <c r="Q20" s="80"/>
      <c r="R20" s="80"/>
      <c r="S20" s="80"/>
      <c r="T20" s="80"/>
      <c r="U20" s="80"/>
      <c r="V20" s="80"/>
      <c r="W20" s="80"/>
      <c r="X20" s="80"/>
      <c r="Y20" s="80"/>
      <c r="Z20" s="80"/>
      <c r="AA20" s="80"/>
    </row>
    <row r="21" spans="1:28" s="81" customFormat="1" hidden="1" x14ac:dyDescent="0.25">
      <c r="A21" s="82" t="s">
        <v>162</v>
      </c>
      <c r="B21" s="82" t="str">
        <f t="array" ref="B21:J21">TRANSPOSE(A22:A30)</f>
        <v>A</v>
      </c>
      <c r="C21" s="82" t="str">
        <v>B</v>
      </c>
      <c r="D21" s="82" t="str">
        <v>C</v>
      </c>
      <c r="E21" s="82" t="str">
        <v>D</v>
      </c>
      <c r="F21" s="82" t="str">
        <v>E</v>
      </c>
      <c r="G21" s="82" t="str">
        <v>F</v>
      </c>
      <c r="H21" s="82" t="str">
        <v>G</v>
      </c>
      <c r="I21" s="82" t="str">
        <v>H</v>
      </c>
      <c r="J21" s="82" t="str">
        <v>xxxxx</v>
      </c>
      <c r="K21" s="82"/>
      <c r="L21" s="82"/>
      <c r="M21" s="82"/>
      <c r="N21" s="80"/>
      <c r="O21" s="80"/>
      <c r="P21" s="80"/>
      <c r="Q21" s="80"/>
      <c r="R21" s="80"/>
      <c r="S21" s="80"/>
      <c r="T21" s="80"/>
      <c r="U21" s="80"/>
      <c r="V21" s="80"/>
      <c r="W21" s="80"/>
      <c r="X21" s="80"/>
      <c r="Y21" s="80"/>
      <c r="Z21" s="80"/>
      <c r="AA21" s="80"/>
    </row>
    <row r="22" spans="1:28" s="81" customFormat="1" hidden="1" x14ac:dyDescent="0.25">
      <c r="A22" s="82" t="str">
        <f t="shared" ref="A22:A30" si="2">IF(ISBLANK(A10),"xxxxx",A10)</f>
        <v>A</v>
      </c>
      <c r="B22" s="82">
        <f t="shared" ref="B22:J30" si="3">IF(OR($F10=B$21,$G10=B$21,$H10=B$21,$I10=B$21),1,0)</f>
        <v>0</v>
      </c>
      <c r="C22" s="82">
        <f t="shared" si="3"/>
        <v>0</v>
      </c>
      <c r="D22" s="82">
        <f t="shared" si="3"/>
        <v>0</v>
      </c>
      <c r="E22" s="82">
        <f t="shared" si="3"/>
        <v>0</v>
      </c>
      <c r="F22" s="82">
        <f t="shared" si="3"/>
        <v>0</v>
      </c>
      <c r="G22" s="82">
        <f t="shared" si="3"/>
        <v>0</v>
      </c>
      <c r="H22" s="82">
        <f t="shared" si="3"/>
        <v>0</v>
      </c>
      <c r="I22" s="82">
        <f t="shared" si="3"/>
        <v>0</v>
      </c>
      <c r="J22" s="82">
        <f t="shared" si="3"/>
        <v>0</v>
      </c>
      <c r="K22" s="82"/>
      <c r="L22" s="82"/>
      <c r="M22" s="82"/>
      <c r="N22" s="80"/>
      <c r="O22" s="80"/>
      <c r="P22" s="80"/>
      <c r="Q22" s="80"/>
      <c r="R22" s="80"/>
      <c r="S22" s="80"/>
      <c r="T22" s="80"/>
      <c r="U22" s="80"/>
      <c r="V22" s="80"/>
      <c r="W22" s="80"/>
      <c r="X22" s="80"/>
      <c r="Y22" s="80"/>
      <c r="Z22" s="80"/>
      <c r="AA22" s="80"/>
    </row>
    <row r="23" spans="1:28" s="81" customFormat="1" hidden="1" x14ac:dyDescent="0.25">
      <c r="A23" s="82" t="str">
        <f t="shared" si="2"/>
        <v>B</v>
      </c>
      <c r="B23" s="82">
        <f t="shared" si="3"/>
        <v>0</v>
      </c>
      <c r="C23" s="82">
        <f t="shared" si="3"/>
        <v>0</v>
      </c>
      <c r="D23" s="82">
        <f t="shared" si="3"/>
        <v>0</v>
      </c>
      <c r="E23" s="82">
        <f t="shared" si="3"/>
        <v>0</v>
      </c>
      <c r="F23" s="82">
        <f t="shared" si="3"/>
        <v>0</v>
      </c>
      <c r="G23" s="82">
        <f t="shared" si="3"/>
        <v>0</v>
      </c>
      <c r="H23" s="82">
        <f t="shared" si="3"/>
        <v>0</v>
      </c>
      <c r="I23" s="82">
        <f t="shared" si="3"/>
        <v>0</v>
      </c>
      <c r="J23" s="82">
        <f t="shared" si="3"/>
        <v>0</v>
      </c>
      <c r="K23" s="82"/>
      <c r="L23" s="82"/>
      <c r="M23" s="82"/>
      <c r="N23" s="80"/>
      <c r="O23" s="80"/>
      <c r="P23" s="80"/>
      <c r="Q23" s="80"/>
      <c r="R23" s="80"/>
      <c r="S23" s="80"/>
      <c r="T23" s="80"/>
      <c r="U23" s="80"/>
      <c r="V23" s="80"/>
      <c r="W23" s="80"/>
      <c r="X23" s="80"/>
      <c r="Y23" s="80"/>
      <c r="Z23" s="80"/>
      <c r="AA23" s="80"/>
    </row>
    <row r="24" spans="1:28" s="81" customFormat="1" hidden="1" x14ac:dyDescent="0.25">
      <c r="A24" s="82" t="str">
        <f t="shared" si="2"/>
        <v>C</v>
      </c>
      <c r="B24" s="82">
        <f t="shared" si="3"/>
        <v>1</v>
      </c>
      <c r="C24" s="82">
        <f t="shared" si="3"/>
        <v>0</v>
      </c>
      <c r="D24" s="82">
        <f t="shared" si="3"/>
        <v>0</v>
      </c>
      <c r="E24" s="82">
        <f t="shared" si="3"/>
        <v>0</v>
      </c>
      <c r="F24" s="82">
        <f t="shared" si="3"/>
        <v>0</v>
      </c>
      <c r="G24" s="82">
        <f t="shared" si="3"/>
        <v>0</v>
      </c>
      <c r="H24" s="82">
        <f t="shared" si="3"/>
        <v>0</v>
      </c>
      <c r="I24" s="82">
        <f t="shared" si="3"/>
        <v>0</v>
      </c>
      <c r="J24" s="82">
        <f t="shared" si="3"/>
        <v>0</v>
      </c>
      <c r="K24" s="82"/>
      <c r="L24" s="82"/>
      <c r="M24" s="82"/>
      <c r="N24" s="80"/>
      <c r="O24" s="80"/>
      <c r="P24" s="80"/>
      <c r="Q24" s="80"/>
      <c r="R24" s="80"/>
      <c r="S24" s="80"/>
      <c r="T24" s="80"/>
      <c r="U24" s="80"/>
      <c r="V24" s="80"/>
      <c r="W24" s="80"/>
      <c r="X24" s="80"/>
      <c r="Y24" s="80"/>
      <c r="Z24" s="80"/>
      <c r="AA24" s="80"/>
    </row>
    <row r="25" spans="1:28" s="81" customFormat="1" hidden="1" x14ac:dyDescent="0.25">
      <c r="A25" s="82" t="str">
        <f t="shared" si="2"/>
        <v>D</v>
      </c>
      <c r="B25" s="82">
        <f t="shared" si="3"/>
        <v>0</v>
      </c>
      <c r="C25" s="82">
        <f t="shared" si="3"/>
        <v>1</v>
      </c>
      <c r="D25" s="82">
        <f t="shared" si="3"/>
        <v>0</v>
      </c>
      <c r="E25" s="82">
        <f t="shared" si="3"/>
        <v>0</v>
      </c>
      <c r="F25" s="82">
        <f t="shared" si="3"/>
        <v>0</v>
      </c>
      <c r="G25" s="82">
        <f t="shared" si="3"/>
        <v>0</v>
      </c>
      <c r="H25" s="82">
        <f t="shared" si="3"/>
        <v>0</v>
      </c>
      <c r="I25" s="82">
        <f t="shared" si="3"/>
        <v>0</v>
      </c>
      <c r="J25" s="82">
        <f t="shared" si="3"/>
        <v>0</v>
      </c>
      <c r="K25" s="82"/>
      <c r="L25" s="82"/>
      <c r="M25" s="82"/>
      <c r="N25" s="80"/>
      <c r="O25" s="80"/>
      <c r="P25" s="80"/>
      <c r="Q25" s="80"/>
      <c r="R25" s="80"/>
      <c r="S25" s="80"/>
      <c r="T25" s="80"/>
      <c r="U25" s="80"/>
      <c r="V25" s="80"/>
      <c r="W25" s="80"/>
      <c r="X25" s="80"/>
      <c r="Y25" s="80"/>
      <c r="Z25" s="80"/>
      <c r="AA25" s="80"/>
    </row>
    <row r="26" spans="1:28" s="81" customFormat="1" hidden="1" x14ac:dyDescent="0.25">
      <c r="A26" s="82" t="str">
        <f t="shared" si="2"/>
        <v>E</v>
      </c>
      <c r="B26" s="82">
        <f t="shared" si="3"/>
        <v>1</v>
      </c>
      <c r="C26" s="82">
        <f t="shared" si="3"/>
        <v>0</v>
      </c>
      <c r="D26" s="82">
        <f t="shared" si="3"/>
        <v>0</v>
      </c>
      <c r="E26" s="82">
        <f t="shared" si="3"/>
        <v>0</v>
      </c>
      <c r="F26" s="82">
        <f t="shared" si="3"/>
        <v>0</v>
      </c>
      <c r="G26" s="82">
        <f t="shared" si="3"/>
        <v>0</v>
      </c>
      <c r="H26" s="82">
        <f t="shared" si="3"/>
        <v>0</v>
      </c>
      <c r="I26" s="82">
        <f t="shared" si="3"/>
        <v>0</v>
      </c>
      <c r="J26" s="82">
        <f t="shared" si="3"/>
        <v>0</v>
      </c>
      <c r="K26" s="82"/>
      <c r="L26" s="82"/>
      <c r="M26" s="82"/>
      <c r="N26" s="80"/>
      <c r="O26" s="80"/>
      <c r="P26" s="80"/>
      <c r="Q26" s="80"/>
      <c r="R26" s="80"/>
      <c r="S26" s="80"/>
      <c r="T26" s="80"/>
      <c r="U26" s="80"/>
      <c r="V26" s="80"/>
      <c r="W26" s="80"/>
      <c r="X26" s="80"/>
      <c r="Y26" s="80"/>
      <c r="Z26" s="80"/>
      <c r="AA26" s="80"/>
    </row>
    <row r="27" spans="1:28" s="81" customFormat="1" hidden="1" x14ac:dyDescent="0.25">
      <c r="A27" s="82" t="str">
        <f t="shared" si="2"/>
        <v>F</v>
      </c>
      <c r="B27" s="82">
        <f t="shared" si="3"/>
        <v>0</v>
      </c>
      <c r="C27" s="82">
        <f t="shared" si="3"/>
        <v>0</v>
      </c>
      <c r="D27" s="82">
        <f t="shared" si="3"/>
        <v>1</v>
      </c>
      <c r="E27" s="82">
        <f t="shared" si="3"/>
        <v>0</v>
      </c>
      <c r="F27" s="82">
        <f t="shared" si="3"/>
        <v>0</v>
      </c>
      <c r="G27" s="82">
        <f t="shared" si="3"/>
        <v>0</v>
      </c>
      <c r="H27" s="82">
        <f t="shared" si="3"/>
        <v>0</v>
      </c>
      <c r="I27" s="82">
        <f t="shared" si="3"/>
        <v>0</v>
      </c>
      <c r="J27" s="82">
        <f t="shared" si="3"/>
        <v>0</v>
      </c>
      <c r="K27" s="82"/>
      <c r="L27" s="82"/>
      <c r="M27" s="82"/>
      <c r="N27" s="80"/>
      <c r="O27" s="80"/>
      <c r="P27" s="80"/>
      <c r="Q27" s="80"/>
      <c r="R27" s="80"/>
      <c r="S27" s="80"/>
      <c r="T27" s="80"/>
      <c r="U27" s="80"/>
      <c r="V27" s="80"/>
      <c r="W27" s="80"/>
      <c r="X27" s="80"/>
      <c r="Y27" s="80"/>
      <c r="Z27" s="80"/>
      <c r="AA27" s="80"/>
    </row>
    <row r="28" spans="1:28" s="81" customFormat="1" hidden="1" x14ac:dyDescent="0.25">
      <c r="A28" s="82" t="str">
        <f t="shared" si="2"/>
        <v>G</v>
      </c>
      <c r="B28" s="82">
        <f t="shared" si="3"/>
        <v>0</v>
      </c>
      <c r="C28" s="82">
        <f t="shared" si="3"/>
        <v>0</v>
      </c>
      <c r="D28" s="82">
        <f t="shared" si="3"/>
        <v>0</v>
      </c>
      <c r="E28" s="82">
        <f t="shared" si="3"/>
        <v>1</v>
      </c>
      <c r="F28" s="82">
        <f t="shared" si="3"/>
        <v>1</v>
      </c>
      <c r="G28" s="82">
        <f t="shared" si="3"/>
        <v>0</v>
      </c>
      <c r="H28" s="82">
        <f t="shared" si="3"/>
        <v>0</v>
      </c>
      <c r="I28" s="82">
        <f t="shared" si="3"/>
        <v>0</v>
      </c>
      <c r="J28" s="82">
        <f t="shared" si="3"/>
        <v>0</v>
      </c>
      <c r="K28" s="82"/>
      <c r="L28" s="82"/>
      <c r="M28" s="82"/>
      <c r="N28" s="80"/>
      <c r="O28" s="80"/>
      <c r="P28" s="80"/>
      <c r="Q28" s="80"/>
      <c r="R28" s="80"/>
      <c r="S28" s="80"/>
      <c r="T28" s="80"/>
      <c r="U28" s="80"/>
      <c r="V28" s="80"/>
      <c r="W28" s="80"/>
      <c r="X28" s="80"/>
      <c r="Y28" s="80"/>
      <c r="Z28" s="80"/>
      <c r="AA28" s="80"/>
    </row>
    <row r="29" spans="1:28" s="81" customFormat="1" hidden="1" x14ac:dyDescent="0.25">
      <c r="A29" s="82" t="str">
        <f t="shared" si="2"/>
        <v>H</v>
      </c>
      <c r="B29" s="82">
        <f t="shared" si="3"/>
        <v>0</v>
      </c>
      <c r="C29" s="82">
        <f t="shared" si="3"/>
        <v>0</v>
      </c>
      <c r="D29" s="82">
        <f t="shared" si="3"/>
        <v>0</v>
      </c>
      <c r="E29" s="82">
        <f t="shared" si="3"/>
        <v>0</v>
      </c>
      <c r="F29" s="82">
        <f t="shared" si="3"/>
        <v>0</v>
      </c>
      <c r="G29" s="82">
        <f t="shared" si="3"/>
        <v>1</v>
      </c>
      <c r="H29" s="82">
        <f t="shared" si="3"/>
        <v>1</v>
      </c>
      <c r="I29" s="82">
        <f t="shared" si="3"/>
        <v>0</v>
      </c>
      <c r="J29" s="82">
        <f t="shared" si="3"/>
        <v>0</v>
      </c>
      <c r="K29" s="82"/>
      <c r="L29" s="82"/>
      <c r="M29" s="82"/>
      <c r="N29" s="80"/>
      <c r="O29" s="80"/>
      <c r="P29" s="80"/>
      <c r="Q29" s="80"/>
      <c r="R29" s="80"/>
      <c r="S29" s="80"/>
      <c r="T29" s="80"/>
      <c r="U29" s="80"/>
      <c r="V29" s="80"/>
      <c r="W29" s="80"/>
      <c r="X29" s="80"/>
      <c r="Y29" s="80"/>
      <c r="Z29" s="80"/>
      <c r="AA29" s="80"/>
    </row>
    <row r="30" spans="1:28" s="81" customFormat="1" hidden="1" x14ac:dyDescent="0.25">
      <c r="A30" s="82" t="str">
        <f t="shared" si="2"/>
        <v>xxxxx</v>
      </c>
      <c r="B30" s="82">
        <f t="shared" si="3"/>
        <v>0</v>
      </c>
      <c r="C30" s="82">
        <f t="shared" si="3"/>
        <v>0</v>
      </c>
      <c r="D30" s="82">
        <f t="shared" si="3"/>
        <v>0</v>
      </c>
      <c r="E30" s="82">
        <f t="shared" si="3"/>
        <v>0</v>
      </c>
      <c r="F30" s="82">
        <f t="shared" si="3"/>
        <v>0</v>
      </c>
      <c r="G30" s="82">
        <f t="shared" si="3"/>
        <v>0</v>
      </c>
      <c r="H30" s="82">
        <f t="shared" si="3"/>
        <v>0</v>
      </c>
      <c r="I30" s="82">
        <f t="shared" si="3"/>
        <v>0</v>
      </c>
      <c r="J30" s="82">
        <f t="shared" si="3"/>
        <v>0</v>
      </c>
      <c r="K30" s="82"/>
      <c r="L30" s="82"/>
      <c r="M30" s="82"/>
      <c r="N30" s="80"/>
      <c r="O30" s="80"/>
      <c r="P30" s="80"/>
      <c r="Q30" s="80"/>
      <c r="R30" s="80"/>
      <c r="S30" s="80"/>
      <c r="T30" s="80"/>
      <c r="U30" s="80"/>
      <c r="V30" s="80"/>
      <c r="W30" s="80"/>
      <c r="X30" s="80"/>
      <c r="Y30" s="80"/>
      <c r="Z30" s="80"/>
      <c r="AA30" s="80"/>
    </row>
    <row r="31" spans="1:28" s="106" customFormat="1" hidden="1" x14ac:dyDescent="0.25">
      <c r="A31" s="82"/>
      <c r="B31" s="82"/>
      <c r="C31" s="82"/>
      <c r="D31" s="82"/>
      <c r="E31" s="82"/>
      <c r="F31" s="82"/>
      <c r="G31" s="82"/>
      <c r="H31" s="82"/>
      <c r="I31" s="82"/>
      <c r="J31" s="82"/>
      <c r="K31" s="82"/>
      <c r="L31" s="82"/>
      <c r="M31" s="82"/>
      <c r="AB31" s="81"/>
    </row>
    <row r="32" spans="1:28" hidden="1" x14ac:dyDescent="0.25">
      <c r="A32" s="82" t="s">
        <v>147</v>
      </c>
      <c r="B32" s="82">
        <f t="array" ref="B32:J32">TRANSPOSE(B10:B18)</f>
        <v>3</v>
      </c>
      <c r="C32" s="82">
        <v>4</v>
      </c>
      <c r="D32" s="82">
        <v>6</v>
      </c>
      <c r="E32" s="82">
        <v>2</v>
      </c>
      <c r="F32" s="82">
        <v>5</v>
      </c>
      <c r="G32" s="82">
        <v>2</v>
      </c>
      <c r="H32" s="82">
        <v>4</v>
      </c>
      <c r="I32" s="82">
        <v>5</v>
      </c>
      <c r="J32" s="82">
        <v>0</v>
      </c>
      <c r="K32" s="82"/>
      <c r="L32" s="82"/>
      <c r="M32" s="82"/>
    </row>
    <row r="33" spans="1:28" hidden="1" x14ac:dyDescent="0.25">
      <c r="A33" s="82" t="s">
        <v>163</v>
      </c>
      <c r="B33" s="82">
        <v>3</v>
      </c>
      <c r="C33" s="82">
        <v>6</v>
      </c>
      <c r="D33" s="82">
        <v>9</v>
      </c>
      <c r="E33" s="82">
        <v>8</v>
      </c>
      <c r="F33" s="82">
        <v>8</v>
      </c>
      <c r="G33" s="82">
        <v>11</v>
      </c>
      <c r="H33" s="82">
        <v>11</v>
      </c>
      <c r="I33" s="82">
        <v>16</v>
      </c>
      <c r="J33" s="82">
        <v>0</v>
      </c>
      <c r="K33" s="82">
        <v>0</v>
      </c>
      <c r="L33" s="82">
        <v>0</v>
      </c>
      <c r="M33" s="82">
        <v>0</v>
      </c>
      <c r="N33" s="82">
        <v>0</v>
      </c>
      <c r="O33" s="82">
        <v>0</v>
      </c>
      <c r="P33" s="82">
        <v>0</v>
      </c>
      <c r="Q33" s="82">
        <v>0</v>
      </c>
      <c r="R33" s="82">
        <v>0</v>
      </c>
      <c r="S33" s="82">
        <v>0</v>
      </c>
      <c r="T33" s="82">
        <v>0</v>
      </c>
      <c r="U33" s="82">
        <v>0</v>
      </c>
      <c r="V33" s="82">
        <v>0</v>
      </c>
      <c r="W33" s="82">
        <v>0</v>
      </c>
      <c r="X33" s="82">
        <v>0</v>
      </c>
      <c r="Y33" s="82">
        <v>0</v>
      </c>
      <c r="Z33" s="82">
        <v>0</v>
      </c>
      <c r="AA33" s="82"/>
    </row>
    <row r="34" spans="1:28" hidden="1" x14ac:dyDescent="0.25">
      <c r="A34" s="80" t="s">
        <v>164</v>
      </c>
      <c r="B34" s="107">
        <v>0</v>
      </c>
      <c r="C34" s="107">
        <v>0</v>
      </c>
      <c r="D34" s="107">
        <v>0</v>
      </c>
      <c r="E34" s="107">
        <v>0</v>
      </c>
      <c r="F34" s="107">
        <v>0</v>
      </c>
      <c r="G34" s="107">
        <v>0</v>
      </c>
      <c r="H34" s="107">
        <v>1</v>
      </c>
      <c r="I34" s="107">
        <v>0</v>
      </c>
      <c r="J34" s="107">
        <v>0</v>
      </c>
      <c r="K34" s="82">
        <v>0</v>
      </c>
      <c r="L34" s="82">
        <v>0</v>
      </c>
      <c r="M34" s="82">
        <v>0</v>
      </c>
      <c r="N34" s="82">
        <v>0</v>
      </c>
      <c r="O34" s="82">
        <v>0</v>
      </c>
      <c r="P34" s="82">
        <v>0</v>
      </c>
      <c r="Q34" s="82">
        <v>0</v>
      </c>
      <c r="R34" s="82">
        <v>0</v>
      </c>
      <c r="S34" s="82">
        <v>0</v>
      </c>
      <c r="T34" s="82">
        <v>0</v>
      </c>
      <c r="U34" s="82">
        <v>0</v>
      </c>
      <c r="V34" s="82">
        <v>0</v>
      </c>
      <c r="W34" s="82">
        <v>0</v>
      </c>
      <c r="X34" s="82">
        <v>0</v>
      </c>
      <c r="Y34" s="82">
        <v>0</v>
      </c>
      <c r="Z34" s="82">
        <v>0</v>
      </c>
      <c r="AA34" s="82"/>
    </row>
    <row r="35" spans="1:28" hidden="1" x14ac:dyDescent="0.25">
      <c r="A35" s="80" t="s">
        <v>165</v>
      </c>
      <c r="B35" s="82">
        <f t="array" ref="B35:J35">TRANSPOSE(M10:M18)</f>
        <v>1</v>
      </c>
      <c r="C35" s="82">
        <v>1</v>
      </c>
      <c r="D35" s="82">
        <v>2</v>
      </c>
      <c r="E35" s="80">
        <v>1</v>
      </c>
      <c r="F35" s="80">
        <v>2</v>
      </c>
      <c r="G35" s="80">
        <v>1</v>
      </c>
      <c r="H35" s="80">
        <v>2</v>
      </c>
      <c r="I35" s="80">
        <v>2</v>
      </c>
      <c r="J35" s="80">
        <v>0</v>
      </c>
      <c r="K35" s="80">
        <v>0</v>
      </c>
      <c r="L35" s="80">
        <v>0</v>
      </c>
      <c r="M35" s="80">
        <v>0</v>
      </c>
      <c r="N35" s="80">
        <v>0</v>
      </c>
      <c r="O35" s="80">
        <v>0</v>
      </c>
      <c r="P35" s="80">
        <v>0</v>
      </c>
      <c r="Q35" s="80">
        <v>0</v>
      </c>
      <c r="R35" s="80">
        <v>0</v>
      </c>
      <c r="S35" s="80">
        <v>0</v>
      </c>
      <c r="T35" s="80">
        <v>0</v>
      </c>
      <c r="U35" s="80">
        <v>0</v>
      </c>
      <c r="V35" s="80">
        <v>0</v>
      </c>
      <c r="W35" s="80">
        <v>0</v>
      </c>
      <c r="X35" s="80">
        <v>0</v>
      </c>
      <c r="Y35" s="80">
        <v>0</v>
      </c>
      <c r="Z35" s="80">
        <v>0</v>
      </c>
    </row>
    <row r="36" spans="1:28" hidden="1" x14ac:dyDescent="0.25">
      <c r="A36" s="80" t="s">
        <v>151</v>
      </c>
      <c r="B36" s="80">
        <f t="shared" ref="B36:J36" si="4">$M$6</f>
        <v>16</v>
      </c>
      <c r="C36" s="80">
        <f t="shared" si="4"/>
        <v>16</v>
      </c>
      <c r="D36" s="80">
        <f t="shared" si="4"/>
        <v>16</v>
      </c>
      <c r="E36" s="80">
        <f t="shared" si="4"/>
        <v>16</v>
      </c>
      <c r="F36" s="80">
        <f t="shared" si="4"/>
        <v>16</v>
      </c>
      <c r="G36" s="80">
        <f t="shared" si="4"/>
        <v>16</v>
      </c>
      <c r="H36" s="80">
        <f t="shared" si="4"/>
        <v>16</v>
      </c>
      <c r="I36" s="80">
        <f t="shared" si="4"/>
        <v>16</v>
      </c>
      <c r="J36" s="80">
        <f t="shared" si="4"/>
        <v>16</v>
      </c>
      <c r="K36" s="80">
        <v>0</v>
      </c>
      <c r="L36" s="80">
        <v>0</v>
      </c>
      <c r="M36" s="80">
        <v>0</v>
      </c>
      <c r="N36" s="80">
        <v>0</v>
      </c>
      <c r="O36" s="80">
        <v>0</v>
      </c>
      <c r="P36" s="80">
        <v>0</v>
      </c>
      <c r="Q36" s="80">
        <v>0</v>
      </c>
      <c r="R36" s="80">
        <v>0</v>
      </c>
      <c r="S36" s="80">
        <v>0</v>
      </c>
      <c r="T36" s="80">
        <v>0</v>
      </c>
      <c r="U36" s="80">
        <v>0</v>
      </c>
      <c r="V36" s="80">
        <v>0</v>
      </c>
      <c r="W36" s="80">
        <v>0</v>
      </c>
      <c r="X36" s="80">
        <v>0</v>
      </c>
      <c r="Y36" s="80">
        <v>0</v>
      </c>
      <c r="Z36" s="80">
        <v>0</v>
      </c>
    </row>
    <row r="37" spans="1:28" ht="150" hidden="1" x14ac:dyDescent="0.25">
      <c r="A37" s="80" t="s">
        <v>158</v>
      </c>
      <c r="B37" s="108" t="s">
        <v>166</v>
      </c>
      <c r="C37" s="108" t="s">
        <v>167</v>
      </c>
      <c r="D37" s="108" t="s">
        <v>168</v>
      </c>
      <c r="E37" s="108" t="s">
        <v>169</v>
      </c>
      <c r="F37" s="108" t="s">
        <v>170</v>
      </c>
      <c r="G37" s="108" t="s">
        <v>171</v>
      </c>
      <c r="H37" s="108" t="s">
        <v>172</v>
      </c>
      <c r="I37" s="108" t="s">
        <v>173</v>
      </c>
      <c r="J37" s="108"/>
      <c r="K37" s="108"/>
      <c r="L37" s="108"/>
      <c r="M37" s="108"/>
      <c r="N37" s="108"/>
    </row>
    <row r="38" spans="1:28" hidden="1" x14ac:dyDescent="0.25">
      <c r="A38" s="109">
        <f t="array" ref="A38:A46">TRANSPOSE(B34:J34)</f>
        <v>0</v>
      </c>
      <c r="B38" s="80">
        <f t="array" ref="B38:B46">TRANSPOSE(B33:J33)</f>
        <v>3</v>
      </c>
      <c r="C38" s="80">
        <f t="shared" ref="C38:J46" si="5">IF(ISBLANK($A10),0,B22*B$33+$B10-$A38)</f>
        <v>3</v>
      </c>
      <c r="D38" s="80">
        <f t="shared" si="5"/>
        <v>3</v>
      </c>
      <c r="E38" s="80">
        <f t="shared" si="5"/>
        <v>3</v>
      </c>
      <c r="F38" s="80">
        <f t="shared" si="5"/>
        <v>3</v>
      </c>
      <c r="G38" s="80">
        <f t="shared" si="5"/>
        <v>3</v>
      </c>
      <c r="H38" s="80">
        <f t="shared" si="5"/>
        <v>3</v>
      </c>
      <c r="I38" s="80">
        <f t="shared" si="5"/>
        <v>3</v>
      </c>
      <c r="J38" s="80">
        <f t="shared" si="5"/>
        <v>3</v>
      </c>
    </row>
    <row r="39" spans="1:28" hidden="1" x14ac:dyDescent="0.25">
      <c r="A39" s="109">
        <v>0</v>
      </c>
      <c r="B39" s="80">
        <v>6</v>
      </c>
      <c r="C39" s="80">
        <f t="shared" si="5"/>
        <v>4</v>
      </c>
      <c r="D39" s="80">
        <f t="shared" si="5"/>
        <v>4</v>
      </c>
      <c r="E39" s="80">
        <f t="shared" si="5"/>
        <v>4</v>
      </c>
      <c r="F39" s="80">
        <f t="shared" si="5"/>
        <v>4</v>
      </c>
      <c r="G39" s="80">
        <f t="shared" si="5"/>
        <v>4</v>
      </c>
      <c r="H39" s="80">
        <f t="shared" si="5"/>
        <v>4</v>
      </c>
      <c r="I39" s="80">
        <f t="shared" si="5"/>
        <v>4</v>
      </c>
      <c r="J39" s="80">
        <f t="shared" si="5"/>
        <v>4</v>
      </c>
    </row>
    <row r="40" spans="1:28" hidden="1" x14ac:dyDescent="0.25">
      <c r="A40" s="109">
        <v>0</v>
      </c>
      <c r="B40" s="80">
        <v>9</v>
      </c>
      <c r="C40" s="80">
        <f t="shared" si="5"/>
        <v>9</v>
      </c>
      <c r="D40" s="80">
        <f t="shared" si="5"/>
        <v>6</v>
      </c>
      <c r="E40" s="80">
        <f t="shared" si="5"/>
        <v>6</v>
      </c>
      <c r="F40" s="80">
        <f t="shared" si="5"/>
        <v>6</v>
      </c>
      <c r="G40" s="80">
        <f t="shared" si="5"/>
        <v>6</v>
      </c>
      <c r="H40" s="80">
        <f t="shared" si="5"/>
        <v>6</v>
      </c>
      <c r="I40" s="80">
        <f t="shared" si="5"/>
        <v>6</v>
      </c>
      <c r="J40" s="80">
        <f t="shared" si="5"/>
        <v>6</v>
      </c>
    </row>
    <row r="41" spans="1:28" hidden="1" x14ac:dyDescent="0.25">
      <c r="A41" s="109">
        <v>0</v>
      </c>
      <c r="B41" s="80">
        <v>8</v>
      </c>
      <c r="C41" s="80">
        <f t="shared" si="5"/>
        <v>2</v>
      </c>
      <c r="D41" s="80">
        <f t="shared" si="5"/>
        <v>8</v>
      </c>
      <c r="E41" s="80">
        <f t="shared" si="5"/>
        <v>2</v>
      </c>
      <c r="F41" s="80">
        <f t="shared" si="5"/>
        <v>2</v>
      </c>
      <c r="G41" s="80">
        <f t="shared" si="5"/>
        <v>2</v>
      </c>
      <c r="H41" s="80">
        <f t="shared" si="5"/>
        <v>2</v>
      </c>
      <c r="I41" s="80">
        <f t="shared" si="5"/>
        <v>2</v>
      </c>
      <c r="J41" s="80">
        <f t="shared" si="5"/>
        <v>2</v>
      </c>
    </row>
    <row r="42" spans="1:28" hidden="1" x14ac:dyDescent="0.25">
      <c r="A42" s="109">
        <v>0</v>
      </c>
      <c r="B42" s="80">
        <v>8</v>
      </c>
      <c r="C42" s="80">
        <f t="shared" si="5"/>
        <v>8</v>
      </c>
      <c r="D42" s="80">
        <f t="shared" si="5"/>
        <v>5</v>
      </c>
      <c r="E42" s="80">
        <f t="shared" si="5"/>
        <v>5</v>
      </c>
      <c r="F42" s="80">
        <f t="shared" si="5"/>
        <v>5</v>
      </c>
      <c r="G42" s="80">
        <f t="shared" si="5"/>
        <v>5</v>
      </c>
      <c r="H42" s="80">
        <f t="shared" si="5"/>
        <v>5</v>
      </c>
      <c r="I42" s="80">
        <f t="shared" si="5"/>
        <v>5</v>
      </c>
      <c r="J42" s="80">
        <f t="shared" si="5"/>
        <v>5</v>
      </c>
    </row>
    <row r="43" spans="1:28" hidden="1" x14ac:dyDescent="0.25">
      <c r="A43" s="109">
        <v>0</v>
      </c>
      <c r="B43" s="80">
        <v>11</v>
      </c>
      <c r="C43" s="80">
        <f t="shared" si="5"/>
        <v>2</v>
      </c>
      <c r="D43" s="80">
        <f t="shared" si="5"/>
        <v>2</v>
      </c>
      <c r="E43" s="80">
        <f t="shared" si="5"/>
        <v>11</v>
      </c>
      <c r="F43" s="80">
        <f t="shared" si="5"/>
        <v>2</v>
      </c>
      <c r="G43" s="80">
        <f t="shared" si="5"/>
        <v>2</v>
      </c>
      <c r="H43" s="80">
        <f t="shared" si="5"/>
        <v>2</v>
      </c>
      <c r="I43" s="80">
        <f t="shared" si="5"/>
        <v>2</v>
      </c>
      <c r="J43" s="80">
        <f t="shared" si="5"/>
        <v>2</v>
      </c>
    </row>
    <row r="44" spans="1:28" hidden="1" x14ac:dyDescent="0.25">
      <c r="A44" s="109">
        <v>1</v>
      </c>
      <c r="B44" s="80">
        <v>11</v>
      </c>
      <c r="C44" s="80">
        <f t="shared" si="5"/>
        <v>3</v>
      </c>
      <c r="D44" s="80">
        <f t="shared" si="5"/>
        <v>3</v>
      </c>
      <c r="E44" s="80">
        <f t="shared" si="5"/>
        <v>3</v>
      </c>
      <c r="F44" s="80">
        <f t="shared" si="5"/>
        <v>11</v>
      </c>
      <c r="G44" s="80">
        <f t="shared" si="5"/>
        <v>11</v>
      </c>
      <c r="H44" s="80">
        <f t="shared" si="5"/>
        <v>3</v>
      </c>
      <c r="I44" s="80">
        <f t="shared" si="5"/>
        <v>3</v>
      </c>
      <c r="J44" s="80">
        <f t="shared" si="5"/>
        <v>3</v>
      </c>
    </row>
    <row r="45" spans="1:28" hidden="1" x14ac:dyDescent="0.25">
      <c r="A45" s="109">
        <v>0</v>
      </c>
      <c r="B45" s="80">
        <v>16</v>
      </c>
      <c r="C45" s="80">
        <f t="shared" si="5"/>
        <v>5</v>
      </c>
      <c r="D45" s="80">
        <f t="shared" si="5"/>
        <v>5</v>
      </c>
      <c r="E45" s="80">
        <f t="shared" si="5"/>
        <v>5</v>
      </c>
      <c r="F45" s="80">
        <f t="shared" si="5"/>
        <v>5</v>
      </c>
      <c r="G45" s="80">
        <f t="shared" si="5"/>
        <v>5</v>
      </c>
      <c r="H45" s="80">
        <f t="shared" si="5"/>
        <v>16</v>
      </c>
      <c r="I45" s="80">
        <f t="shared" si="5"/>
        <v>16</v>
      </c>
      <c r="J45" s="80">
        <f t="shared" si="5"/>
        <v>5</v>
      </c>
    </row>
    <row r="46" spans="1:28" hidden="1" x14ac:dyDescent="0.25">
      <c r="A46" s="109">
        <v>0</v>
      </c>
      <c r="B46" s="80">
        <v>0</v>
      </c>
      <c r="C46" s="80">
        <f t="shared" si="5"/>
        <v>0</v>
      </c>
      <c r="D46" s="80">
        <f t="shared" si="5"/>
        <v>0</v>
      </c>
      <c r="E46" s="80">
        <f t="shared" si="5"/>
        <v>0</v>
      </c>
      <c r="F46" s="80">
        <f t="shared" si="5"/>
        <v>0</v>
      </c>
      <c r="G46" s="80">
        <f t="shared" si="5"/>
        <v>0</v>
      </c>
      <c r="H46" s="80">
        <f t="shared" si="5"/>
        <v>0</v>
      </c>
      <c r="I46" s="80">
        <f t="shared" si="5"/>
        <v>0</v>
      </c>
      <c r="J46" s="80">
        <f t="shared" si="5"/>
        <v>0</v>
      </c>
    </row>
    <row r="47" spans="1:28" s="106" customFormat="1" hidden="1" x14ac:dyDescent="0.25"/>
    <row r="48" spans="1:28" ht="15.75" hidden="1" thickBot="1" x14ac:dyDescent="0.3">
      <c r="A48" s="110" t="s">
        <v>4</v>
      </c>
      <c r="AB48" s="80"/>
    </row>
    <row r="49" spans="1:28" hidden="1" x14ac:dyDescent="0.25">
      <c r="A49" s="111"/>
      <c r="B49" s="112" t="s">
        <v>107</v>
      </c>
      <c r="C49" s="112" t="s">
        <v>174</v>
      </c>
      <c r="D49" s="112" t="s">
        <v>175</v>
      </c>
      <c r="E49" s="112" t="s">
        <v>176</v>
      </c>
      <c r="F49" s="113" t="s">
        <v>177</v>
      </c>
      <c r="AB49" s="80"/>
    </row>
    <row r="50" spans="1:28" hidden="1" x14ac:dyDescent="0.25">
      <c r="A50" s="114" t="str">
        <f t="shared" ref="A50:B58" si="6">IF($A10&lt;&gt;"",A10,"")</f>
        <v>A</v>
      </c>
      <c r="B50" s="114">
        <f t="shared" si="6"/>
        <v>3</v>
      </c>
      <c r="C50" s="115">
        <f t="shared" ref="C50:F58" si="7">IF($A10&lt;&gt;"",F10,"")</f>
        <v>0</v>
      </c>
      <c r="D50" s="114">
        <f t="shared" si="7"/>
        <v>0</v>
      </c>
      <c r="E50" s="114">
        <f t="shared" si="7"/>
        <v>0</v>
      </c>
      <c r="F50" s="114">
        <f t="shared" si="7"/>
        <v>0</v>
      </c>
      <c r="AB50" s="80"/>
    </row>
    <row r="51" spans="1:28" hidden="1" x14ac:dyDescent="0.25">
      <c r="A51" s="114" t="str">
        <f t="shared" si="6"/>
        <v>B</v>
      </c>
      <c r="B51" s="114">
        <f t="shared" si="6"/>
        <v>4</v>
      </c>
      <c r="C51" s="115">
        <f t="shared" si="7"/>
        <v>0</v>
      </c>
      <c r="D51" s="114">
        <f t="shared" si="7"/>
        <v>0</v>
      </c>
      <c r="E51" s="114">
        <f t="shared" si="7"/>
        <v>0</v>
      </c>
      <c r="F51" s="114">
        <f t="shared" si="7"/>
        <v>0</v>
      </c>
      <c r="AB51" s="80"/>
    </row>
    <row r="52" spans="1:28" hidden="1" x14ac:dyDescent="0.25">
      <c r="A52" s="114" t="str">
        <f t="shared" si="6"/>
        <v>C</v>
      </c>
      <c r="B52" s="114">
        <f t="shared" si="6"/>
        <v>6</v>
      </c>
      <c r="C52" s="115" t="str">
        <f t="shared" si="7"/>
        <v>A</v>
      </c>
      <c r="D52" s="114">
        <f t="shared" si="7"/>
        <v>0</v>
      </c>
      <c r="E52" s="114">
        <f t="shared" si="7"/>
        <v>0</v>
      </c>
      <c r="F52" s="114">
        <f t="shared" si="7"/>
        <v>0</v>
      </c>
      <c r="AB52" s="80"/>
    </row>
    <row r="53" spans="1:28" hidden="1" x14ac:dyDescent="0.25">
      <c r="A53" s="114" t="str">
        <f t="shared" si="6"/>
        <v>D</v>
      </c>
      <c r="B53" s="114">
        <f t="shared" si="6"/>
        <v>2</v>
      </c>
      <c r="C53" s="115" t="str">
        <f t="shared" si="7"/>
        <v>B</v>
      </c>
      <c r="D53" s="114">
        <f t="shared" si="7"/>
        <v>0</v>
      </c>
      <c r="E53" s="114">
        <f t="shared" si="7"/>
        <v>0</v>
      </c>
      <c r="F53" s="114">
        <f t="shared" si="7"/>
        <v>0</v>
      </c>
      <c r="AB53" s="80"/>
    </row>
    <row r="54" spans="1:28" hidden="1" x14ac:dyDescent="0.25">
      <c r="A54" s="114" t="str">
        <f t="shared" si="6"/>
        <v>E</v>
      </c>
      <c r="B54" s="114">
        <f t="shared" si="6"/>
        <v>5</v>
      </c>
      <c r="C54" s="115" t="str">
        <f t="shared" si="7"/>
        <v>A</v>
      </c>
      <c r="D54" s="114">
        <f t="shared" si="7"/>
        <v>0</v>
      </c>
      <c r="E54" s="114">
        <f t="shared" si="7"/>
        <v>0</v>
      </c>
      <c r="F54" s="114">
        <f t="shared" si="7"/>
        <v>0</v>
      </c>
      <c r="AB54" s="80"/>
    </row>
    <row r="55" spans="1:28" hidden="1" x14ac:dyDescent="0.25">
      <c r="A55" s="114" t="str">
        <f t="shared" si="6"/>
        <v>F</v>
      </c>
      <c r="B55" s="114">
        <f t="shared" si="6"/>
        <v>2</v>
      </c>
      <c r="C55" s="115" t="str">
        <f t="shared" si="7"/>
        <v>C</v>
      </c>
      <c r="D55" s="114">
        <f t="shared" si="7"/>
        <v>0</v>
      </c>
      <c r="E55" s="114">
        <f t="shared" si="7"/>
        <v>0</v>
      </c>
      <c r="F55" s="114">
        <f t="shared" si="7"/>
        <v>0</v>
      </c>
      <c r="AB55" s="80"/>
    </row>
    <row r="56" spans="1:28" hidden="1" x14ac:dyDescent="0.25">
      <c r="A56" s="114" t="str">
        <f t="shared" si="6"/>
        <v>G</v>
      </c>
      <c r="B56" s="114">
        <f t="shared" si="6"/>
        <v>4</v>
      </c>
      <c r="C56" s="115" t="str">
        <f t="shared" si="7"/>
        <v>D</v>
      </c>
      <c r="D56" s="114" t="str">
        <f t="shared" si="7"/>
        <v>E</v>
      </c>
      <c r="E56" s="114">
        <f t="shared" si="7"/>
        <v>0</v>
      </c>
      <c r="F56" s="114">
        <f t="shared" si="7"/>
        <v>0</v>
      </c>
      <c r="AB56" s="80"/>
    </row>
    <row r="57" spans="1:28" hidden="1" x14ac:dyDescent="0.25">
      <c r="A57" s="114" t="str">
        <f t="shared" si="6"/>
        <v>H</v>
      </c>
      <c r="B57" s="114">
        <f t="shared" si="6"/>
        <v>5</v>
      </c>
      <c r="C57" s="115" t="str">
        <f t="shared" si="7"/>
        <v>F</v>
      </c>
      <c r="D57" s="114" t="str">
        <f t="shared" si="7"/>
        <v>G</v>
      </c>
      <c r="E57" s="114">
        <f t="shared" si="7"/>
        <v>0</v>
      </c>
      <c r="F57" s="114">
        <f t="shared" si="7"/>
        <v>0</v>
      </c>
      <c r="AB57" s="80"/>
    </row>
    <row r="58" spans="1:28" hidden="1" x14ac:dyDescent="0.25">
      <c r="A58" s="114" t="str">
        <f t="shared" si="6"/>
        <v/>
      </c>
      <c r="B58" s="114" t="str">
        <f t="shared" si="6"/>
        <v/>
      </c>
      <c r="C58" s="115" t="str">
        <f t="shared" si="7"/>
        <v/>
      </c>
      <c r="D58" s="114" t="str">
        <f t="shared" si="7"/>
        <v/>
      </c>
      <c r="E58" s="114" t="str">
        <f t="shared" si="7"/>
        <v/>
      </c>
      <c r="F58" s="114" t="str">
        <f t="shared" si="7"/>
        <v/>
      </c>
      <c r="AB58" s="80"/>
    </row>
    <row r="59" spans="1:28" hidden="1" x14ac:dyDescent="0.25">
      <c r="AB59" s="80"/>
    </row>
    <row r="60" spans="1:28" ht="15.75" hidden="1" thickBot="1" x14ac:dyDescent="0.3">
      <c r="A60" s="116" t="s">
        <v>5</v>
      </c>
      <c r="AB60" s="80"/>
    </row>
    <row r="61" spans="1:28" ht="30" hidden="1" x14ac:dyDescent="0.25">
      <c r="A61" s="117" t="s">
        <v>178</v>
      </c>
      <c r="B61" s="118" t="s">
        <v>110</v>
      </c>
      <c r="C61" s="118" t="s">
        <v>111</v>
      </c>
      <c r="D61" s="118"/>
      <c r="E61" s="118"/>
      <c r="F61" s="119"/>
      <c r="G61" s="108"/>
      <c r="H61" s="108"/>
      <c r="I61" s="108"/>
      <c r="J61" s="108"/>
      <c r="K61" s="108"/>
      <c r="L61" s="108"/>
      <c r="M61" s="108"/>
      <c r="N61" s="108"/>
      <c r="AB61" s="80"/>
    </row>
    <row r="62" spans="1:28" hidden="1" x14ac:dyDescent="0.25">
      <c r="A62" s="120" t="str">
        <f t="shared" ref="A62:A70" si="8">A50</f>
        <v>A</v>
      </c>
      <c r="B62" s="102">
        <f t="shared" ref="B62:B70" si="9">IF(A62&lt;&gt;"",MAX(C74:F74),"")</f>
        <v>0</v>
      </c>
      <c r="C62" s="102">
        <f t="shared" ref="C62:C70" si="10">IF(A62&lt;&gt;"",B50+B62,"")</f>
        <v>3</v>
      </c>
      <c r="D62" s="102"/>
      <c r="E62" s="102"/>
      <c r="F62" s="121"/>
      <c r="AB62" s="80"/>
    </row>
    <row r="63" spans="1:28" hidden="1" x14ac:dyDescent="0.25">
      <c r="A63" s="120" t="str">
        <f t="shared" si="8"/>
        <v>B</v>
      </c>
      <c r="B63" s="102">
        <f t="shared" si="9"/>
        <v>0</v>
      </c>
      <c r="C63" s="102">
        <f t="shared" si="10"/>
        <v>4</v>
      </c>
      <c r="D63" s="102"/>
      <c r="E63" s="102"/>
      <c r="F63" s="121"/>
      <c r="AB63" s="80"/>
    </row>
    <row r="64" spans="1:28" hidden="1" x14ac:dyDescent="0.25">
      <c r="A64" s="120" t="str">
        <f t="shared" si="8"/>
        <v>C</v>
      </c>
      <c r="B64" s="102">
        <f t="shared" si="9"/>
        <v>3</v>
      </c>
      <c r="C64" s="102">
        <f t="shared" si="10"/>
        <v>9</v>
      </c>
      <c r="D64" s="102"/>
      <c r="E64" s="102"/>
      <c r="F64" s="121"/>
      <c r="AB64" s="80"/>
    </row>
    <row r="65" spans="1:28" hidden="1" x14ac:dyDescent="0.25">
      <c r="A65" s="120" t="str">
        <f t="shared" si="8"/>
        <v>D</v>
      </c>
      <c r="B65" s="102">
        <f t="shared" si="9"/>
        <v>4</v>
      </c>
      <c r="C65" s="102">
        <f t="shared" si="10"/>
        <v>6</v>
      </c>
      <c r="D65" s="102"/>
      <c r="E65" s="102"/>
      <c r="F65" s="121"/>
      <c r="AB65" s="80"/>
    </row>
    <row r="66" spans="1:28" hidden="1" x14ac:dyDescent="0.25">
      <c r="A66" s="120" t="str">
        <f t="shared" si="8"/>
        <v>E</v>
      </c>
      <c r="B66" s="102">
        <f t="shared" si="9"/>
        <v>3</v>
      </c>
      <c r="C66" s="102">
        <f t="shared" si="10"/>
        <v>8</v>
      </c>
      <c r="D66" s="102"/>
      <c r="E66" s="102"/>
      <c r="F66" s="121"/>
      <c r="AB66" s="80"/>
    </row>
    <row r="67" spans="1:28" hidden="1" x14ac:dyDescent="0.25">
      <c r="A67" s="120" t="str">
        <f t="shared" si="8"/>
        <v>F</v>
      </c>
      <c r="B67" s="102">
        <f t="shared" si="9"/>
        <v>9</v>
      </c>
      <c r="C67" s="102">
        <f t="shared" si="10"/>
        <v>11</v>
      </c>
      <c r="D67" s="102"/>
      <c r="E67" s="102"/>
      <c r="F67" s="121"/>
      <c r="AB67" s="80"/>
    </row>
    <row r="68" spans="1:28" hidden="1" x14ac:dyDescent="0.25">
      <c r="A68" s="120" t="str">
        <f t="shared" si="8"/>
        <v>G</v>
      </c>
      <c r="B68" s="102">
        <f t="shared" si="9"/>
        <v>8</v>
      </c>
      <c r="C68" s="102">
        <f t="shared" si="10"/>
        <v>12</v>
      </c>
      <c r="D68" s="102"/>
      <c r="E68" s="102"/>
      <c r="F68" s="121"/>
      <c r="AB68" s="80"/>
    </row>
    <row r="69" spans="1:28" hidden="1" x14ac:dyDescent="0.25">
      <c r="A69" s="120" t="str">
        <f t="shared" si="8"/>
        <v>H</v>
      </c>
      <c r="B69" s="102">
        <f t="shared" si="9"/>
        <v>12</v>
      </c>
      <c r="C69" s="102">
        <f t="shared" si="10"/>
        <v>17</v>
      </c>
      <c r="D69" s="102"/>
      <c r="E69" s="102"/>
      <c r="F69" s="121"/>
      <c r="AB69" s="80"/>
    </row>
    <row r="70" spans="1:28" hidden="1" x14ac:dyDescent="0.25">
      <c r="A70" s="120" t="str">
        <f t="shared" si="8"/>
        <v/>
      </c>
      <c r="B70" s="102" t="str">
        <f t="shared" si="9"/>
        <v/>
      </c>
      <c r="C70" s="102" t="str">
        <f t="shared" si="10"/>
        <v/>
      </c>
      <c r="D70" s="102"/>
      <c r="E70" s="102"/>
      <c r="F70" s="121"/>
      <c r="AB70" s="80"/>
    </row>
    <row r="71" spans="1:28" ht="15.75" hidden="1" thickBot="1" x14ac:dyDescent="0.3">
      <c r="A71" s="122"/>
      <c r="B71" s="123" t="s">
        <v>115</v>
      </c>
      <c r="C71" s="123">
        <f>MAX(C62:C70)</f>
        <v>17</v>
      </c>
      <c r="D71" s="123"/>
      <c r="E71" s="123"/>
      <c r="F71" s="124"/>
      <c r="AB71" s="80"/>
    </row>
    <row r="72" spans="1:28" hidden="1" x14ac:dyDescent="0.25">
      <c r="AB72" s="80"/>
    </row>
    <row r="73" spans="1:28" hidden="1" x14ac:dyDescent="0.25">
      <c r="A73" s="125" t="s">
        <v>116</v>
      </c>
      <c r="AB73" s="80"/>
    </row>
    <row r="74" spans="1:28" hidden="1" x14ac:dyDescent="0.25">
      <c r="A74" s="80" t="str">
        <f t="shared" ref="A74:A82" si="11">A50</f>
        <v>A</v>
      </c>
      <c r="C74" s="80">
        <f t="shared" ref="C74:F83" si="12">IF($A74&lt;&gt;"",IF(ISNUMBER(VLOOKUP(C50,$A$62:$C$70,3,FALSE)),VLOOKUP(C50,$A$62:$C$70,3,FALSE),0),"")</f>
        <v>0</v>
      </c>
      <c r="D74" s="80">
        <f t="shared" si="12"/>
        <v>0</v>
      </c>
      <c r="E74" s="80">
        <f t="shared" si="12"/>
        <v>0</v>
      </c>
      <c r="F74" s="80">
        <f t="shared" si="12"/>
        <v>0</v>
      </c>
      <c r="AB74" s="80"/>
    </row>
    <row r="75" spans="1:28" hidden="1" x14ac:dyDescent="0.25">
      <c r="A75" s="80" t="str">
        <f t="shared" si="11"/>
        <v>B</v>
      </c>
      <c r="C75" s="80">
        <f t="shared" si="12"/>
        <v>0</v>
      </c>
      <c r="D75" s="80">
        <f t="shared" si="12"/>
        <v>0</v>
      </c>
      <c r="E75" s="80">
        <f t="shared" si="12"/>
        <v>0</v>
      </c>
      <c r="F75" s="80">
        <f t="shared" si="12"/>
        <v>0</v>
      </c>
      <c r="AB75" s="80"/>
    </row>
    <row r="76" spans="1:28" hidden="1" x14ac:dyDescent="0.25">
      <c r="A76" s="80" t="str">
        <f t="shared" si="11"/>
        <v>C</v>
      </c>
      <c r="C76" s="80">
        <f t="shared" si="12"/>
        <v>3</v>
      </c>
      <c r="D76" s="80">
        <f t="shared" si="12"/>
        <v>0</v>
      </c>
      <c r="E76" s="80">
        <f t="shared" si="12"/>
        <v>0</v>
      </c>
      <c r="F76" s="80">
        <f t="shared" si="12"/>
        <v>0</v>
      </c>
      <c r="AB76" s="80"/>
    </row>
    <row r="77" spans="1:28" hidden="1" x14ac:dyDescent="0.25">
      <c r="A77" s="80" t="str">
        <f t="shared" si="11"/>
        <v>D</v>
      </c>
      <c r="C77" s="80">
        <f t="shared" si="12"/>
        <v>4</v>
      </c>
      <c r="D77" s="80">
        <f t="shared" si="12"/>
        <v>0</v>
      </c>
      <c r="E77" s="80">
        <f t="shared" si="12"/>
        <v>0</v>
      </c>
      <c r="F77" s="80">
        <f t="shared" si="12"/>
        <v>0</v>
      </c>
      <c r="AB77" s="80"/>
    </row>
    <row r="78" spans="1:28" hidden="1" x14ac:dyDescent="0.25">
      <c r="A78" s="80" t="str">
        <f t="shared" si="11"/>
        <v>E</v>
      </c>
      <c r="C78" s="80">
        <f t="shared" si="12"/>
        <v>3</v>
      </c>
      <c r="D78" s="80">
        <f t="shared" si="12"/>
        <v>0</v>
      </c>
      <c r="E78" s="80">
        <f t="shared" si="12"/>
        <v>0</v>
      </c>
      <c r="F78" s="80">
        <f t="shared" si="12"/>
        <v>0</v>
      </c>
      <c r="AB78" s="80"/>
    </row>
    <row r="79" spans="1:28" hidden="1" x14ac:dyDescent="0.25">
      <c r="A79" s="80" t="str">
        <f t="shared" si="11"/>
        <v>F</v>
      </c>
      <c r="C79" s="80">
        <f t="shared" si="12"/>
        <v>9</v>
      </c>
      <c r="D79" s="80">
        <f t="shared" si="12"/>
        <v>0</v>
      </c>
      <c r="E79" s="80">
        <f t="shared" si="12"/>
        <v>0</v>
      </c>
      <c r="F79" s="80">
        <f t="shared" si="12"/>
        <v>0</v>
      </c>
      <c r="AB79" s="80"/>
    </row>
    <row r="80" spans="1:28" hidden="1" x14ac:dyDescent="0.25">
      <c r="A80" s="80" t="str">
        <f t="shared" si="11"/>
        <v>G</v>
      </c>
      <c r="C80" s="80">
        <f t="shared" si="12"/>
        <v>6</v>
      </c>
      <c r="D80" s="80">
        <f t="shared" si="12"/>
        <v>8</v>
      </c>
      <c r="E80" s="80">
        <f t="shared" si="12"/>
        <v>0</v>
      </c>
      <c r="F80" s="80">
        <f t="shared" si="12"/>
        <v>0</v>
      </c>
      <c r="AB80" s="80"/>
    </row>
    <row r="81" spans="1:28" hidden="1" x14ac:dyDescent="0.25">
      <c r="A81" s="80" t="str">
        <f t="shared" si="11"/>
        <v>H</v>
      </c>
      <c r="C81" s="80">
        <f t="shared" si="12"/>
        <v>11</v>
      </c>
      <c r="D81" s="80">
        <f t="shared" si="12"/>
        <v>12</v>
      </c>
      <c r="E81" s="80">
        <f t="shared" si="12"/>
        <v>0</v>
      </c>
      <c r="F81" s="80">
        <f t="shared" si="12"/>
        <v>0</v>
      </c>
      <c r="AB81" s="80"/>
    </row>
    <row r="82" spans="1:28" hidden="1" x14ac:dyDescent="0.25">
      <c r="A82" s="80" t="str">
        <f t="shared" si="11"/>
        <v/>
      </c>
      <c r="C82" s="80" t="str">
        <f t="shared" si="12"/>
        <v/>
      </c>
      <c r="D82" s="80" t="str">
        <f t="shared" si="12"/>
        <v/>
      </c>
      <c r="E82" s="80" t="str">
        <f t="shared" si="12"/>
        <v/>
      </c>
      <c r="F82" s="80" t="str">
        <f t="shared" si="12"/>
        <v/>
      </c>
      <c r="AB82" s="80"/>
    </row>
    <row r="83" spans="1:28" hidden="1" x14ac:dyDescent="0.25">
      <c r="C83" s="80" t="str">
        <f t="shared" si="12"/>
        <v/>
      </c>
      <c r="D83" s="80" t="str">
        <f t="shared" si="12"/>
        <v/>
      </c>
      <c r="E83" s="80" t="str">
        <f t="shared" si="12"/>
        <v/>
      </c>
      <c r="F83" s="80" t="str">
        <f t="shared" si="12"/>
        <v/>
      </c>
      <c r="AB83" s="80"/>
    </row>
    <row r="84" spans="1:28" hidden="1" x14ac:dyDescent="0.25">
      <c r="A84" s="125" t="s">
        <v>117</v>
      </c>
      <c r="AB84" s="80"/>
    </row>
    <row r="85" spans="1:28" hidden="1" x14ac:dyDescent="0.25">
      <c r="B85" s="80" t="str">
        <f>A50</f>
        <v>A</v>
      </c>
      <c r="C85" s="80" t="str">
        <f>A51</f>
        <v>B</v>
      </c>
      <c r="D85" s="80" t="str">
        <f>A52</f>
        <v>C</v>
      </c>
      <c r="E85" s="80" t="str">
        <f>A53</f>
        <v>D</v>
      </c>
      <c r="F85" s="80" t="str">
        <f>A54</f>
        <v>E</v>
      </c>
      <c r="G85" s="80" t="str">
        <f>A55</f>
        <v>F</v>
      </c>
      <c r="H85" s="80" t="str">
        <f>A56</f>
        <v>G</v>
      </c>
      <c r="I85" s="80" t="str">
        <f>A57</f>
        <v>H</v>
      </c>
      <c r="J85" s="80" t="str">
        <f>A58</f>
        <v/>
      </c>
      <c r="AB85" s="80"/>
    </row>
    <row r="86" spans="1:28" hidden="1" x14ac:dyDescent="0.25">
      <c r="A86" s="80" t="str">
        <f t="shared" ref="A86:A94" si="13">A50</f>
        <v>A</v>
      </c>
      <c r="B86" s="80">
        <f t="shared" ref="B86:J94" si="14">IF($F50=B$85,$D62,IF($E50=B$85,$D62,IF($D50=B$85,$D62,IF($C50=B$85,$D62,$C$71))))</f>
        <v>17</v>
      </c>
      <c r="C86" s="80">
        <f t="shared" si="14"/>
        <v>17</v>
      </c>
      <c r="D86" s="80">
        <f t="shared" si="14"/>
        <v>17</v>
      </c>
      <c r="E86" s="80">
        <f t="shared" si="14"/>
        <v>17</v>
      </c>
      <c r="F86" s="80">
        <f t="shared" si="14"/>
        <v>17</v>
      </c>
      <c r="G86" s="80">
        <f t="shared" si="14"/>
        <v>17</v>
      </c>
      <c r="H86" s="80">
        <f t="shared" si="14"/>
        <v>17</v>
      </c>
      <c r="I86" s="80">
        <f t="shared" si="14"/>
        <v>17</v>
      </c>
      <c r="J86" s="80">
        <f t="shared" si="14"/>
        <v>17</v>
      </c>
      <c r="AB86" s="80"/>
    </row>
    <row r="87" spans="1:28" hidden="1" x14ac:dyDescent="0.25">
      <c r="A87" s="80" t="str">
        <f t="shared" si="13"/>
        <v>B</v>
      </c>
      <c r="B87" s="80">
        <f t="shared" si="14"/>
        <v>17</v>
      </c>
      <c r="C87" s="80">
        <f t="shared" si="14"/>
        <v>17</v>
      </c>
      <c r="D87" s="80">
        <f t="shared" si="14"/>
        <v>17</v>
      </c>
      <c r="E87" s="80">
        <f t="shared" si="14"/>
        <v>17</v>
      </c>
      <c r="F87" s="80">
        <f t="shared" si="14"/>
        <v>17</v>
      </c>
      <c r="G87" s="80">
        <f t="shared" si="14"/>
        <v>17</v>
      </c>
      <c r="H87" s="80">
        <f t="shared" si="14"/>
        <v>17</v>
      </c>
      <c r="I87" s="80">
        <f t="shared" si="14"/>
        <v>17</v>
      </c>
      <c r="J87" s="80">
        <f t="shared" si="14"/>
        <v>17</v>
      </c>
      <c r="AB87" s="80"/>
    </row>
    <row r="88" spans="1:28" hidden="1" x14ac:dyDescent="0.25">
      <c r="A88" s="80" t="str">
        <f t="shared" si="13"/>
        <v>C</v>
      </c>
      <c r="B88" s="80">
        <f t="shared" si="14"/>
        <v>0</v>
      </c>
      <c r="C88" s="80">
        <f t="shared" si="14"/>
        <v>17</v>
      </c>
      <c r="D88" s="80">
        <f t="shared" si="14"/>
        <v>17</v>
      </c>
      <c r="E88" s="80">
        <f t="shared" si="14"/>
        <v>17</v>
      </c>
      <c r="F88" s="80">
        <f t="shared" si="14"/>
        <v>17</v>
      </c>
      <c r="G88" s="80">
        <f t="shared" si="14"/>
        <v>17</v>
      </c>
      <c r="H88" s="80">
        <f t="shared" si="14"/>
        <v>17</v>
      </c>
      <c r="I88" s="80">
        <f t="shared" si="14"/>
        <v>17</v>
      </c>
      <c r="J88" s="80">
        <f t="shared" si="14"/>
        <v>17</v>
      </c>
      <c r="AB88" s="80"/>
    </row>
    <row r="89" spans="1:28" hidden="1" x14ac:dyDescent="0.25">
      <c r="A89" s="80" t="str">
        <f t="shared" si="13"/>
        <v>D</v>
      </c>
      <c r="B89" s="80">
        <f t="shared" si="14"/>
        <v>17</v>
      </c>
      <c r="C89" s="80">
        <f t="shared" si="14"/>
        <v>0</v>
      </c>
      <c r="D89" s="80">
        <f t="shared" si="14"/>
        <v>17</v>
      </c>
      <c r="E89" s="80">
        <f t="shared" si="14"/>
        <v>17</v>
      </c>
      <c r="F89" s="80">
        <f t="shared" si="14"/>
        <v>17</v>
      </c>
      <c r="G89" s="80">
        <f t="shared" si="14"/>
        <v>17</v>
      </c>
      <c r="H89" s="80">
        <f t="shared" si="14"/>
        <v>17</v>
      </c>
      <c r="I89" s="80">
        <f t="shared" si="14"/>
        <v>17</v>
      </c>
      <c r="J89" s="80">
        <f t="shared" si="14"/>
        <v>17</v>
      </c>
      <c r="AB89" s="80"/>
    </row>
    <row r="90" spans="1:28" hidden="1" x14ac:dyDescent="0.25">
      <c r="A90" s="80" t="str">
        <f t="shared" si="13"/>
        <v>E</v>
      </c>
      <c r="B90" s="80">
        <f t="shared" si="14"/>
        <v>0</v>
      </c>
      <c r="C90" s="80">
        <f t="shared" si="14"/>
        <v>17</v>
      </c>
      <c r="D90" s="80">
        <f t="shared" si="14"/>
        <v>17</v>
      </c>
      <c r="E90" s="80">
        <f t="shared" si="14"/>
        <v>17</v>
      </c>
      <c r="F90" s="80">
        <f t="shared" si="14"/>
        <v>17</v>
      </c>
      <c r="G90" s="80">
        <f t="shared" si="14"/>
        <v>17</v>
      </c>
      <c r="H90" s="80">
        <f t="shared" si="14"/>
        <v>17</v>
      </c>
      <c r="I90" s="80">
        <f t="shared" si="14"/>
        <v>17</v>
      </c>
      <c r="J90" s="80">
        <f t="shared" si="14"/>
        <v>17</v>
      </c>
      <c r="AB90" s="80"/>
    </row>
    <row r="91" spans="1:28" hidden="1" x14ac:dyDescent="0.25">
      <c r="A91" s="80" t="str">
        <f t="shared" si="13"/>
        <v>F</v>
      </c>
      <c r="B91" s="80">
        <f t="shared" si="14"/>
        <v>17</v>
      </c>
      <c r="C91" s="80">
        <f t="shared" si="14"/>
        <v>17</v>
      </c>
      <c r="D91" s="80">
        <f t="shared" si="14"/>
        <v>0</v>
      </c>
      <c r="E91" s="80">
        <f t="shared" si="14"/>
        <v>17</v>
      </c>
      <c r="F91" s="80">
        <f t="shared" si="14"/>
        <v>17</v>
      </c>
      <c r="G91" s="80">
        <f t="shared" si="14"/>
        <v>17</v>
      </c>
      <c r="H91" s="80">
        <f t="shared" si="14"/>
        <v>17</v>
      </c>
      <c r="I91" s="80">
        <f t="shared" si="14"/>
        <v>17</v>
      </c>
      <c r="J91" s="80">
        <f t="shared" si="14"/>
        <v>17</v>
      </c>
      <c r="AB91" s="80"/>
    </row>
    <row r="92" spans="1:28" hidden="1" x14ac:dyDescent="0.25">
      <c r="A92" s="80" t="str">
        <f t="shared" si="13"/>
        <v>G</v>
      </c>
      <c r="B92" s="80">
        <f t="shared" si="14"/>
        <v>17</v>
      </c>
      <c r="C92" s="80">
        <f t="shared" si="14"/>
        <v>17</v>
      </c>
      <c r="D92" s="80">
        <f t="shared" si="14"/>
        <v>17</v>
      </c>
      <c r="E92" s="80">
        <f t="shared" si="14"/>
        <v>0</v>
      </c>
      <c r="F92" s="80">
        <f t="shared" si="14"/>
        <v>0</v>
      </c>
      <c r="G92" s="80">
        <f t="shared" si="14"/>
        <v>17</v>
      </c>
      <c r="H92" s="80">
        <f t="shared" si="14"/>
        <v>17</v>
      </c>
      <c r="I92" s="80">
        <f t="shared" si="14"/>
        <v>17</v>
      </c>
      <c r="J92" s="80">
        <f t="shared" si="14"/>
        <v>17</v>
      </c>
      <c r="AB92" s="80"/>
    </row>
    <row r="93" spans="1:28" hidden="1" x14ac:dyDescent="0.25">
      <c r="A93" s="80" t="str">
        <f t="shared" si="13"/>
        <v>H</v>
      </c>
      <c r="B93" s="80">
        <f t="shared" si="14"/>
        <v>17</v>
      </c>
      <c r="C93" s="80">
        <f t="shared" si="14"/>
        <v>17</v>
      </c>
      <c r="D93" s="80">
        <f t="shared" si="14"/>
        <v>17</v>
      </c>
      <c r="E93" s="80">
        <f t="shared" si="14"/>
        <v>17</v>
      </c>
      <c r="F93" s="80">
        <f t="shared" si="14"/>
        <v>17</v>
      </c>
      <c r="G93" s="80">
        <f t="shared" si="14"/>
        <v>0</v>
      </c>
      <c r="H93" s="80">
        <f t="shared" si="14"/>
        <v>0</v>
      </c>
      <c r="I93" s="80">
        <f t="shared" si="14"/>
        <v>17</v>
      </c>
      <c r="J93" s="80">
        <f t="shared" si="14"/>
        <v>17</v>
      </c>
      <c r="AB93" s="80"/>
    </row>
    <row r="94" spans="1:28" hidden="1" x14ac:dyDescent="0.25">
      <c r="A94" s="80" t="str">
        <f t="shared" si="13"/>
        <v/>
      </c>
      <c r="B94" s="80">
        <f t="shared" si="14"/>
        <v>17</v>
      </c>
      <c r="C94" s="80">
        <f t="shared" si="14"/>
        <v>17</v>
      </c>
      <c r="D94" s="80">
        <f t="shared" si="14"/>
        <v>17</v>
      </c>
      <c r="E94" s="80">
        <f t="shared" si="14"/>
        <v>17</v>
      </c>
      <c r="F94" s="80">
        <f t="shared" si="14"/>
        <v>17</v>
      </c>
      <c r="G94" s="80">
        <f t="shared" si="14"/>
        <v>17</v>
      </c>
      <c r="H94" s="80">
        <f t="shared" si="14"/>
        <v>17</v>
      </c>
      <c r="I94" s="80">
        <f t="shared" si="14"/>
        <v>17</v>
      </c>
      <c r="J94" s="80">
        <f t="shared" si="14"/>
        <v>0</v>
      </c>
      <c r="AB94" s="80"/>
    </row>
    <row r="95" spans="1:28" hidden="1" x14ac:dyDescent="0.25"/>
    <row r="96" spans="1:28" hidden="1" x14ac:dyDescent="0.25">
      <c r="A96" s="126" t="s">
        <v>93</v>
      </c>
      <c r="B96" s="127"/>
      <c r="C96" s="127"/>
      <c r="AB96" s="80"/>
    </row>
    <row r="97" spans="1:29" hidden="1" x14ac:dyDescent="0.25">
      <c r="A97" s="128"/>
      <c r="B97" s="128"/>
      <c r="AB97" s="80"/>
    </row>
    <row r="98" spans="1:29" hidden="1" x14ac:dyDescent="0.25">
      <c r="AB98" s="80"/>
    </row>
    <row r="99" spans="1:29" ht="15.75" hidden="1" thickBot="1" x14ac:dyDescent="0.3">
      <c r="A99" s="110" t="s">
        <v>4</v>
      </c>
      <c r="AB99" s="80"/>
    </row>
    <row r="100" spans="1:29" hidden="1" x14ac:dyDescent="0.25">
      <c r="A100" s="111"/>
      <c r="B100" s="112" t="s">
        <v>107</v>
      </c>
      <c r="C100" s="112" t="s">
        <v>174</v>
      </c>
      <c r="D100" s="112" t="s">
        <v>175</v>
      </c>
      <c r="E100" s="112" t="s">
        <v>176</v>
      </c>
      <c r="F100" s="113" t="s">
        <v>177</v>
      </c>
      <c r="AB100" s="80"/>
    </row>
    <row r="101" spans="1:29" hidden="1" x14ac:dyDescent="0.25">
      <c r="A101" s="114" t="str">
        <f t="shared" ref="A101:A109" si="15">IF($A10&lt;&gt;"",A10,"")</f>
        <v>A</v>
      </c>
      <c r="B101" s="114">
        <f t="shared" ref="B101:B109" si="16">IF($A10&lt;&gt;"",C10,"")</f>
        <v>2</v>
      </c>
      <c r="C101" s="114">
        <f t="shared" ref="C101:F109" si="17">IF($A10&lt;&gt;"",F10,"")</f>
        <v>0</v>
      </c>
      <c r="D101" s="114">
        <f t="shared" si="17"/>
        <v>0</v>
      </c>
      <c r="E101" s="114">
        <f t="shared" si="17"/>
        <v>0</v>
      </c>
      <c r="F101" s="114">
        <f t="shared" si="17"/>
        <v>0</v>
      </c>
      <c r="AB101" s="80"/>
    </row>
    <row r="102" spans="1:29" hidden="1" x14ac:dyDescent="0.25">
      <c r="A102" s="114" t="str">
        <f t="shared" si="15"/>
        <v>B</v>
      </c>
      <c r="B102" s="114">
        <f t="shared" si="16"/>
        <v>3</v>
      </c>
      <c r="C102" s="114">
        <f t="shared" si="17"/>
        <v>0</v>
      </c>
      <c r="D102" s="114">
        <f t="shared" si="17"/>
        <v>0</v>
      </c>
      <c r="E102" s="114">
        <f t="shared" si="17"/>
        <v>0</v>
      </c>
      <c r="F102" s="114">
        <f t="shared" si="17"/>
        <v>0</v>
      </c>
      <c r="AB102" s="80"/>
    </row>
    <row r="103" spans="1:29" hidden="1" x14ac:dyDescent="0.25">
      <c r="A103" s="114" t="str">
        <f t="shared" si="15"/>
        <v>C</v>
      </c>
      <c r="B103" s="114">
        <f t="shared" si="16"/>
        <v>4</v>
      </c>
      <c r="C103" s="114" t="str">
        <f t="shared" si="17"/>
        <v>A</v>
      </c>
      <c r="D103" s="114">
        <f t="shared" si="17"/>
        <v>0</v>
      </c>
      <c r="E103" s="114">
        <f t="shared" si="17"/>
        <v>0</v>
      </c>
      <c r="F103" s="114">
        <f t="shared" si="17"/>
        <v>0</v>
      </c>
      <c r="AB103" s="80"/>
    </row>
    <row r="104" spans="1:29" hidden="1" x14ac:dyDescent="0.25">
      <c r="A104" s="114" t="str">
        <f t="shared" si="15"/>
        <v>D</v>
      </c>
      <c r="B104" s="114">
        <f t="shared" si="16"/>
        <v>1</v>
      </c>
      <c r="C104" s="114" t="str">
        <f t="shared" si="17"/>
        <v>B</v>
      </c>
      <c r="D104" s="114">
        <f t="shared" si="17"/>
        <v>0</v>
      </c>
      <c r="E104" s="114">
        <f t="shared" si="17"/>
        <v>0</v>
      </c>
      <c r="F104" s="114">
        <f t="shared" si="17"/>
        <v>0</v>
      </c>
      <c r="AB104" s="80"/>
    </row>
    <row r="105" spans="1:29" hidden="1" x14ac:dyDescent="0.25">
      <c r="A105" s="114" t="str">
        <f t="shared" si="15"/>
        <v>E</v>
      </c>
      <c r="B105" s="114">
        <f t="shared" si="16"/>
        <v>3</v>
      </c>
      <c r="C105" s="114" t="str">
        <f t="shared" si="17"/>
        <v>A</v>
      </c>
      <c r="D105" s="114">
        <f t="shared" si="17"/>
        <v>0</v>
      </c>
      <c r="E105" s="114">
        <f t="shared" si="17"/>
        <v>0</v>
      </c>
      <c r="F105" s="114">
        <f t="shared" si="17"/>
        <v>0</v>
      </c>
      <c r="AB105" s="80"/>
    </row>
    <row r="106" spans="1:29" hidden="1" x14ac:dyDescent="0.25">
      <c r="A106" s="114" t="str">
        <f t="shared" si="15"/>
        <v>F</v>
      </c>
      <c r="B106" s="114">
        <f t="shared" si="16"/>
        <v>1</v>
      </c>
      <c r="C106" s="114" t="str">
        <f t="shared" si="17"/>
        <v>C</v>
      </c>
      <c r="D106" s="114">
        <f t="shared" si="17"/>
        <v>0</v>
      </c>
      <c r="E106" s="114">
        <f t="shared" si="17"/>
        <v>0</v>
      </c>
      <c r="F106" s="114">
        <f t="shared" si="17"/>
        <v>0</v>
      </c>
      <c r="AB106" s="80"/>
    </row>
    <row r="107" spans="1:29" hidden="1" x14ac:dyDescent="0.25">
      <c r="A107" s="114" t="str">
        <f t="shared" si="15"/>
        <v>G</v>
      </c>
      <c r="B107" s="114">
        <f t="shared" si="16"/>
        <v>2</v>
      </c>
      <c r="C107" s="114" t="str">
        <f t="shared" si="17"/>
        <v>D</v>
      </c>
      <c r="D107" s="114" t="str">
        <f t="shared" si="17"/>
        <v>E</v>
      </c>
      <c r="E107" s="114">
        <f t="shared" si="17"/>
        <v>0</v>
      </c>
      <c r="F107" s="114">
        <f t="shared" si="17"/>
        <v>0</v>
      </c>
      <c r="AB107" s="80"/>
    </row>
    <row r="108" spans="1:29" hidden="1" x14ac:dyDescent="0.25">
      <c r="A108" s="114" t="str">
        <f t="shared" si="15"/>
        <v>H</v>
      </c>
      <c r="B108" s="114">
        <f t="shared" si="16"/>
        <v>3</v>
      </c>
      <c r="C108" s="114" t="str">
        <f t="shared" si="17"/>
        <v>F</v>
      </c>
      <c r="D108" s="114" t="str">
        <f t="shared" si="17"/>
        <v>G</v>
      </c>
      <c r="E108" s="114">
        <f t="shared" si="17"/>
        <v>0</v>
      </c>
      <c r="F108" s="114">
        <f t="shared" si="17"/>
        <v>0</v>
      </c>
      <c r="AB108" s="80"/>
    </row>
    <row r="109" spans="1:29" hidden="1" x14ac:dyDescent="0.25">
      <c r="A109" s="114" t="str">
        <f t="shared" si="15"/>
        <v/>
      </c>
      <c r="B109" s="114" t="str">
        <f t="shared" si="16"/>
        <v/>
      </c>
      <c r="C109" s="114" t="str">
        <f t="shared" si="17"/>
        <v/>
      </c>
      <c r="D109" s="114" t="str">
        <f t="shared" si="17"/>
        <v/>
      </c>
      <c r="E109" s="114" t="str">
        <f t="shared" si="17"/>
        <v/>
      </c>
      <c r="F109" s="114" t="str">
        <f t="shared" si="17"/>
        <v/>
      </c>
      <c r="AB109" s="80"/>
    </row>
    <row r="110" spans="1:29" hidden="1" x14ac:dyDescent="0.25">
      <c r="AB110" s="80"/>
    </row>
    <row r="111" spans="1:29" ht="15.75" hidden="1" thickBot="1" x14ac:dyDescent="0.3">
      <c r="A111" s="116" t="s">
        <v>5</v>
      </c>
      <c r="E111" s="80">
        <f>MAX(E113:E121)</f>
        <v>0</v>
      </c>
      <c r="AB111" s="80"/>
    </row>
    <row r="112" spans="1:29" ht="30" hidden="1" x14ac:dyDescent="0.25">
      <c r="A112" s="117" t="s">
        <v>178</v>
      </c>
      <c r="B112" s="118" t="s">
        <v>110</v>
      </c>
      <c r="C112" s="118" t="s">
        <v>111</v>
      </c>
      <c r="D112" s="118" t="s">
        <v>112</v>
      </c>
      <c r="E112" s="118" t="s">
        <v>113</v>
      </c>
      <c r="F112" s="119" t="s">
        <v>114</v>
      </c>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row>
    <row r="113" spans="1:28" hidden="1" x14ac:dyDescent="0.25">
      <c r="A113" s="120" t="str">
        <f t="shared" ref="A113:A121" si="18">A101</f>
        <v>A</v>
      </c>
      <c r="B113" s="102">
        <f t="shared" ref="B113:B121" si="19">IF(A113&lt;&gt;"",MAX(C125:F125),"")</f>
        <v>0</v>
      </c>
      <c r="C113" s="102">
        <f t="shared" ref="C113:C121" si="20">IF(A113&lt;&gt;"",B101+B113,"")</f>
        <v>2</v>
      </c>
      <c r="D113" s="102">
        <f t="shared" ref="D113:D121" si="21">IF(A113&lt;&gt;"",E113-B101,"")</f>
        <v>-2</v>
      </c>
      <c r="E113" s="102">
        <f>IF(A113&lt;&gt;"",B$162,"")</f>
        <v>0</v>
      </c>
      <c r="F113" s="121">
        <f t="shared" ref="F113:F121" si="22">IF(A113&lt;&gt;"",D113-B113,"")</f>
        <v>-2</v>
      </c>
      <c r="AB113" s="80"/>
    </row>
    <row r="114" spans="1:28" hidden="1" x14ac:dyDescent="0.25">
      <c r="A114" s="120" t="str">
        <f t="shared" si="18"/>
        <v>B</v>
      </c>
      <c r="B114" s="102">
        <f t="shared" si="19"/>
        <v>0</v>
      </c>
      <c r="C114" s="102">
        <f t="shared" si="20"/>
        <v>3</v>
      </c>
      <c r="D114" s="102">
        <f t="shared" si="21"/>
        <v>-3</v>
      </c>
      <c r="E114" s="102">
        <f>IF(A114&lt;&gt;"",C$162,"")</f>
        <v>0</v>
      </c>
      <c r="F114" s="121">
        <f t="shared" si="22"/>
        <v>-3</v>
      </c>
      <c r="AB114" s="80"/>
    </row>
    <row r="115" spans="1:28" hidden="1" x14ac:dyDescent="0.25">
      <c r="A115" s="120" t="str">
        <f t="shared" si="18"/>
        <v>C</v>
      </c>
      <c r="B115" s="102">
        <f t="shared" si="19"/>
        <v>2</v>
      </c>
      <c r="C115" s="102">
        <f t="shared" si="20"/>
        <v>6</v>
      </c>
      <c r="D115" s="102">
        <f t="shared" si="21"/>
        <v>-4</v>
      </c>
      <c r="E115" s="102">
        <f>IF(A115&lt;&gt;"",D$162,"")</f>
        <v>0</v>
      </c>
      <c r="F115" s="121">
        <f t="shared" si="22"/>
        <v>-6</v>
      </c>
      <c r="AB115" s="80"/>
    </row>
    <row r="116" spans="1:28" hidden="1" x14ac:dyDescent="0.25">
      <c r="A116" s="120" t="str">
        <f t="shared" si="18"/>
        <v>D</v>
      </c>
      <c r="B116" s="102">
        <f t="shared" si="19"/>
        <v>3</v>
      </c>
      <c r="C116" s="102">
        <f t="shared" si="20"/>
        <v>4</v>
      </c>
      <c r="D116" s="102">
        <f t="shared" si="21"/>
        <v>-1</v>
      </c>
      <c r="E116" s="102">
        <f>IF(A116&lt;&gt;"",E$162,"")</f>
        <v>0</v>
      </c>
      <c r="F116" s="121">
        <f t="shared" si="22"/>
        <v>-4</v>
      </c>
      <c r="H116" s="80">
        <f>B104</f>
        <v>1</v>
      </c>
      <c r="I116" s="80">
        <f>B116</f>
        <v>3</v>
      </c>
      <c r="AB116" s="80"/>
    </row>
    <row r="117" spans="1:28" hidden="1" x14ac:dyDescent="0.25">
      <c r="A117" s="120" t="str">
        <f t="shared" si="18"/>
        <v>E</v>
      </c>
      <c r="B117" s="102">
        <f t="shared" si="19"/>
        <v>2</v>
      </c>
      <c r="C117" s="102">
        <f t="shared" si="20"/>
        <v>5</v>
      </c>
      <c r="D117" s="102">
        <f t="shared" si="21"/>
        <v>-3</v>
      </c>
      <c r="E117" s="102">
        <f>IF(A117&lt;&gt;"",F$162,"")</f>
        <v>0</v>
      </c>
      <c r="F117" s="121">
        <f t="shared" si="22"/>
        <v>-5</v>
      </c>
      <c r="AB117" s="80"/>
    </row>
    <row r="118" spans="1:28" hidden="1" x14ac:dyDescent="0.25">
      <c r="A118" s="120" t="str">
        <f t="shared" si="18"/>
        <v>F</v>
      </c>
      <c r="B118" s="102">
        <f t="shared" si="19"/>
        <v>6</v>
      </c>
      <c r="C118" s="102">
        <f t="shared" si="20"/>
        <v>7</v>
      </c>
      <c r="D118" s="102">
        <f t="shared" si="21"/>
        <v>-1</v>
      </c>
      <c r="E118" s="102">
        <f>IF(A118&lt;&gt;"",G$162,"")</f>
        <v>0</v>
      </c>
      <c r="F118" s="121">
        <f t="shared" si="22"/>
        <v>-7</v>
      </c>
      <c r="AB118" s="80"/>
    </row>
    <row r="119" spans="1:28" hidden="1" x14ac:dyDescent="0.25">
      <c r="A119" s="120" t="str">
        <f t="shared" si="18"/>
        <v>G</v>
      </c>
      <c r="B119" s="102">
        <f t="shared" si="19"/>
        <v>5</v>
      </c>
      <c r="C119" s="102">
        <f t="shared" si="20"/>
        <v>7</v>
      </c>
      <c r="D119" s="102">
        <f t="shared" si="21"/>
        <v>-2</v>
      </c>
      <c r="E119" s="102">
        <f>IF(A119&lt;&gt;"",H$162,"")</f>
        <v>0</v>
      </c>
      <c r="F119" s="121">
        <f t="shared" si="22"/>
        <v>-7</v>
      </c>
      <c r="AB119" s="80"/>
    </row>
    <row r="120" spans="1:28" hidden="1" x14ac:dyDescent="0.25">
      <c r="A120" s="120" t="str">
        <f t="shared" si="18"/>
        <v>H</v>
      </c>
      <c r="B120" s="102">
        <f t="shared" si="19"/>
        <v>7</v>
      </c>
      <c r="C120" s="102">
        <f t="shared" si="20"/>
        <v>10</v>
      </c>
      <c r="D120" s="102">
        <f t="shared" si="21"/>
        <v>-3</v>
      </c>
      <c r="E120" s="102">
        <f>IF(A120&lt;&gt;"",I$162,"")</f>
        <v>0</v>
      </c>
      <c r="F120" s="121">
        <f t="shared" si="22"/>
        <v>-10</v>
      </c>
      <c r="AB120" s="80"/>
    </row>
    <row r="121" spans="1:28" hidden="1" x14ac:dyDescent="0.25">
      <c r="A121" s="120" t="str">
        <f t="shared" si="18"/>
        <v/>
      </c>
      <c r="B121" s="102" t="str">
        <f t="shared" si="19"/>
        <v/>
      </c>
      <c r="C121" s="102" t="str">
        <f t="shared" si="20"/>
        <v/>
      </c>
      <c r="D121" s="102" t="str">
        <f t="shared" si="21"/>
        <v/>
      </c>
      <c r="E121" s="102" t="str">
        <f>IF(A121&lt;&gt;"",J$162,"")</f>
        <v/>
      </c>
      <c r="F121" s="121" t="str">
        <f t="shared" si="22"/>
        <v/>
      </c>
      <c r="AB121" s="80"/>
    </row>
    <row r="122" spans="1:28" ht="15.75" hidden="1" thickBot="1" x14ac:dyDescent="0.3">
      <c r="A122" s="122"/>
      <c r="B122" s="123" t="s">
        <v>115</v>
      </c>
      <c r="C122" s="123">
        <f>MAX(C113:C121)</f>
        <v>10</v>
      </c>
      <c r="D122" s="123"/>
      <c r="E122" s="123"/>
      <c r="F122" s="124"/>
      <c r="AB122" s="80"/>
    </row>
    <row r="123" spans="1:28" hidden="1" x14ac:dyDescent="0.25">
      <c r="AB123" s="80"/>
    </row>
    <row r="124" spans="1:28" hidden="1" x14ac:dyDescent="0.25">
      <c r="A124" s="125" t="s">
        <v>116</v>
      </c>
      <c r="AB124" s="80"/>
    </row>
    <row r="125" spans="1:28" hidden="1" x14ac:dyDescent="0.25">
      <c r="A125" s="80" t="str">
        <f t="shared" ref="A125:A133" si="23">A101</f>
        <v>A</v>
      </c>
      <c r="C125" s="80">
        <f t="shared" ref="C125:F134" si="24">IF($A125&lt;&gt;"",IF(ISNUMBER(VLOOKUP(C101,$A$113:$C$121,3,FALSE)),VLOOKUP(C101,$A$113:$C$121,3,FALSE),0),"")</f>
        <v>0</v>
      </c>
      <c r="D125" s="80">
        <f t="shared" si="24"/>
        <v>0</v>
      </c>
      <c r="E125" s="80">
        <f t="shared" si="24"/>
        <v>0</v>
      </c>
      <c r="F125" s="80">
        <f t="shared" si="24"/>
        <v>0</v>
      </c>
      <c r="AB125" s="80"/>
    </row>
    <row r="126" spans="1:28" hidden="1" x14ac:dyDescent="0.25">
      <c r="A126" s="80" t="str">
        <f t="shared" si="23"/>
        <v>B</v>
      </c>
      <c r="C126" s="80">
        <f t="shared" si="24"/>
        <v>0</v>
      </c>
      <c r="D126" s="80">
        <f t="shared" si="24"/>
        <v>0</v>
      </c>
      <c r="E126" s="80">
        <f t="shared" si="24"/>
        <v>0</v>
      </c>
      <c r="F126" s="80">
        <f t="shared" si="24"/>
        <v>0</v>
      </c>
      <c r="AB126" s="80"/>
    </row>
    <row r="127" spans="1:28" hidden="1" x14ac:dyDescent="0.25">
      <c r="A127" s="80" t="str">
        <f t="shared" si="23"/>
        <v>C</v>
      </c>
      <c r="C127" s="80">
        <f t="shared" si="24"/>
        <v>2</v>
      </c>
      <c r="D127" s="80">
        <f t="shared" si="24"/>
        <v>0</v>
      </c>
      <c r="E127" s="80">
        <f t="shared" si="24"/>
        <v>0</v>
      </c>
      <c r="F127" s="80">
        <f t="shared" si="24"/>
        <v>0</v>
      </c>
      <c r="AB127" s="80"/>
    </row>
    <row r="128" spans="1:28" hidden="1" x14ac:dyDescent="0.25">
      <c r="A128" s="80" t="str">
        <f t="shared" si="23"/>
        <v>D</v>
      </c>
      <c r="C128" s="80">
        <f t="shared" si="24"/>
        <v>3</v>
      </c>
      <c r="D128" s="80">
        <f t="shared" si="24"/>
        <v>0</v>
      </c>
      <c r="E128" s="80">
        <f t="shared" si="24"/>
        <v>0</v>
      </c>
      <c r="F128" s="80">
        <f t="shared" si="24"/>
        <v>0</v>
      </c>
      <c r="AB128" s="80"/>
    </row>
    <row r="129" spans="1:28" hidden="1" x14ac:dyDescent="0.25">
      <c r="A129" s="80" t="str">
        <f t="shared" si="23"/>
        <v>E</v>
      </c>
      <c r="C129" s="80">
        <f t="shared" si="24"/>
        <v>2</v>
      </c>
      <c r="D129" s="80">
        <f t="shared" si="24"/>
        <v>0</v>
      </c>
      <c r="E129" s="80">
        <f t="shared" si="24"/>
        <v>0</v>
      </c>
      <c r="F129" s="80">
        <f t="shared" si="24"/>
        <v>0</v>
      </c>
      <c r="AB129" s="80"/>
    </row>
    <row r="130" spans="1:28" hidden="1" x14ac:dyDescent="0.25">
      <c r="A130" s="80" t="str">
        <f t="shared" si="23"/>
        <v>F</v>
      </c>
      <c r="C130" s="80">
        <f t="shared" si="24"/>
        <v>6</v>
      </c>
      <c r="D130" s="80">
        <f t="shared" si="24"/>
        <v>0</v>
      </c>
      <c r="E130" s="80">
        <f t="shared" si="24"/>
        <v>0</v>
      </c>
      <c r="F130" s="80">
        <f t="shared" si="24"/>
        <v>0</v>
      </c>
      <c r="AB130" s="80"/>
    </row>
    <row r="131" spans="1:28" hidden="1" x14ac:dyDescent="0.25">
      <c r="A131" s="80" t="str">
        <f t="shared" si="23"/>
        <v>G</v>
      </c>
      <c r="C131" s="80">
        <f t="shared" si="24"/>
        <v>4</v>
      </c>
      <c r="D131" s="80">
        <f t="shared" si="24"/>
        <v>5</v>
      </c>
      <c r="E131" s="80">
        <f t="shared" si="24"/>
        <v>0</v>
      </c>
      <c r="F131" s="80">
        <f t="shared" si="24"/>
        <v>0</v>
      </c>
      <c r="AB131" s="80"/>
    </row>
    <row r="132" spans="1:28" hidden="1" x14ac:dyDescent="0.25">
      <c r="A132" s="80" t="str">
        <f t="shared" si="23"/>
        <v>H</v>
      </c>
      <c r="C132" s="80">
        <f t="shared" si="24"/>
        <v>7</v>
      </c>
      <c r="D132" s="80">
        <f t="shared" si="24"/>
        <v>7</v>
      </c>
      <c r="E132" s="80">
        <f t="shared" si="24"/>
        <v>0</v>
      </c>
      <c r="F132" s="80">
        <f t="shared" si="24"/>
        <v>0</v>
      </c>
      <c r="AB132" s="80"/>
    </row>
    <row r="133" spans="1:28" hidden="1" x14ac:dyDescent="0.25">
      <c r="A133" s="80" t="str">
        <f t="shared" si="23"/>
        <v/>
      </c>
      <c r="C133" s="80" t="str">
        <f t="shared" si="24"/>
        <v/>
      </c>
      <c r="D133" s="80" t="str">
        <f t="shared" si="24"/>
        <v/>
      </c>
      <c r="E133" s="80" t="str">
        <f t="shared" si="24"/>
        <v/>
      </c>
      <c r="F133" s="80" t="str">
        <f t="shared" si="24"/>
        <v/>
      </c>
      <c r="AB133" s="80"/>
    </row>
    <row r="134" spans="1:28" hidden="1" x14ac:dyDescent="0.25">
      <c r="C134" s="80" t="str">
        <f t="shared" si="24"/>
        <v/>
      </c>
      <c r="D134" s="80" t="str">
        <f t="shared" si="24"/>
        <v/>
      </c>
      <c r="E134" s="80" t="str">
        <f t="shared" si="24"/>
        <v/>
      </c>
      <c r="F134" s="80" t="str">
        <f t="shared" si="24"/>
        <v/>
      </c>
      <c r="AB134" s="80"/>
    </row>
    <row r="135" spans="1:28" hidden="1" x14ac:dyDescent="0.25">
      <c r="A135" s="125" t="s">
        <v>117</v>
      </c>
      <c r="AB135" s="80"/>
    </row>
    <row r="136" spans="1:28" hidden="1" x14ac:dyDescent="0.25">
      <c r="B136" s="80" t="str">
        <f>A101</f>
        <v>A</v>
      </c>
      <c r="C136" s="80" t="str">
        <f>A102</f>
        <v>B</v>
      </c>
      <c r="D136" s="80" t="str">
        <f>A103</f>
        <v>C</v>
      </c>
      <c r="E136" s="80" t="str">
        <f>A104</f>
        <v>D</v>
      </c>
      <c r="F136" s="80" t="str">
        <f>A105</f>
        <v>E</v>
      </c>
      <c r="G136" s="80" t="str">
        <f>A106</f>
        <v>F</v>
      </c>
      <c r="H136" s="80" t="str">
        <f>A107</f>
        <v>G</v>
      </c>
      <c r="I136" s="80" t="str">
        <f>A108</f>
        <v>H</v>
      </c>
      <c r="J136" s="80" t="str">
        <f>A109</f>
        <v/>
      </c>
      <c r="AB136" s="80"/>
    </row>
    <row r="137" spans="1:28" hidden="1" x14ac:dyDescent="0.25">
      <c r="A137" s="80" t="str">
        <f t="shared" ref="A137:A145" si="25">A101</f>
        <v>A</v>
      </c>
      <c r="B137" s="80">
        <f t="shared" ref="B137:J145" si="26">IF($F101=B$136,$D113,IF($E101=B$136,$D113,IF($D101=B$136,$D113,IF($C101=B$136,$D113,$C$122))))</f>
        <v>10</v>
      </c>
      <c r="C137" s="80">
        <f t="shared" si="26"/>
        <v>10</v>
      </c>
      <c r="D137" s="80">
        <f t="shared" si="26"/>
        <v>10</v>
      </c>
      <c r="E137" s="80">
        <f t="shared" si="26"/>
        <v>10</v>
      </c>
      <c r="F137" s="80">
        <f t="shared" si="26"/>
        <v>10</v>
      </c>
      <c r="G137" s="80">
        <f t="shared" si="26"/>
        <v>10</v>
      </c>
      <c r="H137" s="80">
        <f t="shared" si="26"/>
        <v>10</v>
      </c>
      <c r="I137" s="80">
        <f t="shared" si="26"/>
        <v>10</v>
      </c>
      <c r="J137" s="80">
        <f t="shared" si="26"/>
        <v>10</v>
      </c>
      <c r="AB137" s="80"/>
    </row>
    <row r="138" spans="1:28" hidden="1" x14ac:dyDescent="0.25">
      <c r="A138" s="80" t="str">
        <f t="shared" si="25"/>
        <v>B</v>
      </c>
      <c r="B138" s="80">
        <f t="shared" si="26"/>
        <v>10</v>
      </c>
      <c r="C138" s="80">
        <f t="shared" si="26"/>
        <v>10</v>
      </c>
      <c r="D138" s="80">
        <f t="shared" si="26"/>
        <v>10</v>
      </c>
      <c r="E138" s="80">
        <f t="shared" si="26"/>
        <v>10</v>
      </c>
      <c r="F138" s="80">
        <f t="shared" si="26"/>
        <v>10</v>
      </c>
      <c r="G138" s="80">
        <f t="shared" si="26"/>
        <v>10</v>
      </c>
      <c r="H138" s="80">
        <f t="shared" si="26"/>
        <v>10</v>
      </c>
      <c r="I138" s="80">
        <f t="shared" si="26"/>
        <v>10</v>
      </c>
      <c r="J138" s="80">
        <f t="shared" si="26"/>
        <v>10</v>
      </c>
      <c r="AB138" s="80"/>
    </row>
    <row r="139" spans="1:28" hidden="1" x14ac:dyDescent="0.25">
      <c r="A139" s="80" t="str">
        <f t="shared" si="25"/>
        <v>C</v>
      </c>
      <c r="B139" s="80">
        <f t="shared" si="26"/>
        <v>-4</v>
      </c>
      <c r="C139" s="80">
        <f t="shared" si="26"/>
        <v>10</v>
      </c>
      <c r="D139" s="80">
        <f t="shared" si="26"/>
        <v>10</v>
      </c>
      <c r="E139" s="80">
        <f t="shared" si="26"/>
        <v>10</v>
      </c>
      <c r="F139" s="80">
        <f t="shared" si="26"/>
        <v>10</v>
      </c>
      <c r="G139" s="80">
        <f t="shared" si="26"/>
        <v>10</v>
      </c>
      <c r="H139" s="80">
        <f t="shared" si="26"/>
        <v>10</v>
      </c>
      <c r="I139" s="80">
        <f t="shared" si="26"/>
        <v>10</v>
      </c>
      <c r="J139" s="80">
        <f t="shared" si="26"/>
        <v>10</v>
      </c>
      <c r="AB139" s="80"/>
    </row>
    <row r="140" spans="1:28" hidden="1" x14ac:dyDescent="0.25">
      <c r="A140" s="80" t="str">
        <f t="shared" si="25"/>
        <v>D</v>
      </c>
      <c r="B140" s="80">
        <f t="shared" si="26"/>
        <v>10</v>
      </c>
      <c r="C140" s="80">
        <f t="shared" si="26"/>
        <v>-1</v>
      </c>
      <c r="D140" s="80">
        <f t="shared" si="26"/>
        <v>10</v>
      </c>
      <c r="E140" s="80">
        <f t="shared" si="26"/>
        <v>10</v>
      </c>
      <c r="F140" s="80">
        <f t="shared" si="26"/>
        <v>10</v>
      </c>
      <c r="G140" s="80">
        <f t="shared" si="26"/>
        <v>10</v>
      </c>
      <c r="H140" s="80">
        <f t="shared" si="26"/>
        <v>10</v>
      </c>
      <c r="I140" s="80">
        <f t="shared" si="26"/>
        <v>10</v>
      </c>
      <c r="J140" s="80">
        <f t="shared" si="26"/>
        <v>10</v>
      </c>
      <c r="AB140" s="80"/>
    </row>
    <row r="141" spans="1:28" hidden="1" x14ac:dyDescent="0.25">
      <c r="A141" s="80" t="str">
        <f t="shared" si="25"/>
        <v>E</v>
      </c>
      <c r="B141" s="80">
        <f t="shared" si="26"/>
        <v>-3</v>
      </c>
      <c r="C141" s="80">
        <f t="shared" si="26"/>
        <v>10</v>
      </c>
      <c r="D141" s="80">
        <f t="shared" si="26"/>
        <v>10</v>
      </c>
      <c r="E141" s="80">
        <f t="shared" si="26"/>
        <v>10</v>
      </c>
      <c r="F141" s="80">
        <f t="shared" si="26"/>
        <v>10</v>
      </c>
      <c r="G141" s="80">
        <f t="shared" si="26"/>
        <v>10</v>
      </c>
      <c r="H141" s="80">
        <f t="shared" si="26"/>
        <v>10</v>
      </c>
      <c r="I141" s="80">
        <f t="shared" si="26"/>
        <v>10</v>
      </c>
      <c r="J141" s="80">
        <f t="shared" si="26"/>
        <v>10</v>
      </c>
      <c r="AB141" s="80"/>
    </row>
    <row r="142" spans="1:28" hidden="1" x14ac:dyDescent="0.25">
      <c r="A142" s="80" t="str">
        <f t="shared" si="25"/>
        <v>F</v>
      </c>
      <c r="B142" s="80">
        <f t="shared" si="26"/>
        <v>10</v>
      </c>
      <c r="C142" s="80">
        <f t="shared" si="26"/>
        <v>10</v>
      </c>
      <c r="D142" s="80">
        <f t="shared" si="26"/>
        <v>-1</v>
      </c>
      <c r="E142" s="80">
        <f t="shared" si="26"/>
        <v>10</v>
      </c>
      <c r="F142" s="80">
        <f t="shared" si="26"/>
        <v>10</v>
      </c>
      <c r="G142" s="80">
        <f t="shared" si="26"/>
        <v>10</v>
      </c>
      <c r="H142" s="80">
        <f t="shared" si="26"/>
        <v>10</v>
      </c>
      <c r="I142" s="80">
        <f t="shared" si="26"/>
        <v>10</v>
      </c>
      <c r="J142" s="80">
        <f t="shared" si="26"/>
        <v>10</v>
      </c>
      <c r="AB142" s="80"/>
    </row>
    <row r="143" spans="1:28" hidden="1" x14ac:dyDescent="0.25">
      <c r="A143" s="80" t="str">
        <f t="shared" si="25"/>
        <v>G</v>
      </c>
      <c r="B143" s="80">
        <f t="shared" si="26"/>
        <v>10</v>
      </c>
      <c r="C143" s="80">
        <f t="shared" si="26"/>
        <v>10</v>
      </c>
      <c r="D143" s="80">
        <f t="shared" si="26"/>
        <v>10</v>
      </c>
      <c r="E143" s="80">
        <f t="shared" si="26"/>
        <v>-2</v>
      </c>
      <c r="F143" s="80">
        <f t="shared" si="26"/>
        <v>-2</v>
      </c>
      <c r="G143" s="80">
        <f t="shared" si="26"/>
        <v>10</v>
      </c>
      <c r="H143" s="80">
        <f t="shared" si="26"/>
        <v>10</v>
      </c>
      <c r="I143" s="80">
        <f t="shared" si="26"/>
        <v>10</v>
      </c>
      <c r="J143" s="80">
        <f t="shared" si="26"/>
        <v>10</v>
      </c>
      <c r="AB143" s="80"/>
    </row>
    <row r="144" spans="1:28" hidden="1" x14ac:dyDescent="0.25">
      <c r="A144" s="80" t="str">
        <f t="shared" si="25"/>
        <v>H</v>
      </c>
      <c r="B144" s="80">
        <f t="shared" si="26"/>
        <v>10</v>
      </c>
      <c r="C144" s="80">
        <f t="shared" si="26"/>
        <v>10</v>
      </c>
      <c r="D144" s="80">
        <f t="shared" si="26"/>
        <v>10</v>
      </c>
      <c r="E144" s="80">
        <f t="shared" si="26"/>
        <v>10</v>
      </c>
      <c r="F144" s="80">
        <f t="shared" si="26"/>
        <v>10</v>
      </c>
      <c r="G144" s="80">
        <f t="shared" si="26"/>
        <v>-3</v>
      </c>
      <c r="H144" s="80">
        <f t="shared" si="26"/>
        <v>-3</v>
      </c>
      <c r="I144" s="80">
        <f t="shared" si="26"/>
        <v>10</v>
      </c>
      <c r="J144" s="80">
        <f t="shared" si="26"/>
        <v>10</v>
      </c>
      <c r="AB144" s="80"/>
    </row>
    <row r="145" spans="1:28" hidden="1" x14ac:dyDescent="0.25">
      <c r="A145" s="80" t="str">
        <f t="shared" si="25"/>
        <v/>
      </c>
      <c r="B145" s="80">
        <f t="shared" si="26"/>
        <v>10</v>
      </c>
      <c r="C145" s="80">
        <f t="shared" si="26"/>
        <v>10</v>
      </c>
      <c r="D145" s="80">
        <f t="shared" si="26"/>
        <v>10</v>
      </c>
      <c r="E145" s="80">
        <f t="shared" si="26"/>
        <v>10</v>
      </c>
      <c r="F145" s="80">
        <f t="shared" si="26"/>
        <v>10</v>
      </c>
      <c r="G145" s="80">
        <f t="shared" si="26"/>
        <v>10</v>
      </c>
      <c r="H145" s="80">
        <f t="shared" si="26"/>
        <v>10</v>
      </c>
      <c r="I145" s="80">
        <f t="shared" si="26"/>
        <v>10</v>
      </c>
      <c r="J145" s="80" t="str">
        <f t="shared" si="26"/>
        <v/>
      </c>
      <c r="AB145" s="80"/>
    </row>
    <row r="146" spans="1:28" hidden="1" x14ac:dyDescent="0.25">
      <c r="AB146" s="80"/>
    </row>
    <row r="147" spans="1:28" hidden="1" x14ac:dyDescent="0.25">
      <c r="AB147" s="80"/>
    </row>
    <row r="148" spans="1:28" hidden="1" x14ac:dyDescent="0.25">
      <c r="AB148" s="80"/>
    </row>
    <row r="149" spans="1:28" hidden="1" x14ac:dyDescent="0.25">
      <c r="AB149" s="80"/>
    </row>
    <row r="150" spans="1:28" hidden="1" x14ac:dyDescent="0.25">
      <c r="AB150" s="80"/>
    </row>
    <row r="151" spans="1:28" hidden="1" x14ac:dyDescent="0.25">
      <c r="AB151" s="80"/>
    </row>
    <row r="152" spans="1:28" hidden="1" x14ac:dyDescent="0.25">
      <c r="AB152" s="80"/>
    </row>
    <row r="153" spans="1:28" hidden="1" x14ac:dyDescent="0.25">
      <c r="AB153" s="80"/>
    </row>
    <row r="154" spans="1:28" hidden="1" x14ac:dyDescent="0.25">
      <c r="AB154" s="80"/>
    </row>
    <row r="155" spans="1:28" hidden="1" x14ac:dyDescent="0.25">
      <c r="AB155" s="80"/>
    </row>
    <row r="156" spans="1:28" hidden="1" x14ac:dyDescent="0.25">
      <c r="AB156" s="80"/>
    </row>
    <row r="157" spans="1:28" hidden="1" x14ac:dyDescent="0.25">
      <c r="AB157" s="80"/>
    </row>
    <row r="158" spans="1:28" hidden="1" x14ac:dyDescent="0.25">
      <c r="AB158" s="80"/>
    </row>
    <row r="159" spans="1:28" hidden="1" x14ac:dyDescent="0.25">
      <c r="AB159" s="80"/>
    </row>
    <row r="160" spans="1:28" hidden="1" x14ac:dyDescent="0.25">
      <c r="AB160" s="80"/>
    </row>
    <row r="161" spans="28:28" hidden="1" x14ac:dyDescent="0.25">
      <c r="AB161" s="80"/>
    </row>
    <row r="162" spans="28:28" hidden="1" x14ac:dyDescent="0.25">
      <c r="AB162" s="80"/>
    </row>
    <row r="163" spans="28:28" hidden="1" x14ac:dyDescent="0.25"/>
    <row r="164" spans="28:28" hidden="1" x14ac:dyDescent="0.25"/>
    <row r="165" spans="28:28" hidden="1" x14ac:dyDescent="0.25"/>
    <row r="166" spans="28:28" hidden="1" x14ac:dyDescent="0.25"/>
    <row r="167" spans="28:28" hidden="1" x14ac:dyDescent="0.25"/>
    <row r="168" spans="28:28" hidden="1" x14ac:dyDescent="0.25"/>
    <row r="169" spans="28:28" hidden="1" x14ac:dyDescent="0.25"/>
    <row r="170" spans="28:28" hidden="1" x14ac:dyDescent="0.25"/>
    <row r="171" spans="28:28" hidden="1" x14ac:dyDescent="0.25"/>
    <row r="172" spans="28:28" hidden="1" x14ac:dyDescent="0.25"/>
    <row r="173" spans="28:28" hidden="1" x14ac:dyDescent="0.25"/>
    <row r="174" spans="28:28" hidden="1" x14ac:dyDescent="0.25"/>
    <row r="175" spans="28:28" hidden="1" x14ac:dyDescent="0.25"/>
    <row r="176" spans="28:28"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spans="1:2" hidden="1" x14ac:dyDescent="0.25"/>
    <row r="370" spans="1:2" hidden="1" x14ac:dyDescent="0.25"/>
    <row r="371" spans="1:2" hidden="1" x14ac:dyDescent="0.25"/>
    <row r="372" spans="1:2" hidden="1" x14ac:dyDescent="0.25"/>
    <row r="373" spans="1:2" hidden="1" x14ac:dyDescent="0.25"/>
    <row r="374" spans="1:2" hidden="1" x14ac:dyDescent="0.25"/>
    <row r="375" spans="1:2" hidden="1" x14ac:dyDescent="0.25"/>
    <row r="376" spans="1:2" hidden="1" x14ac:dyDescent="0.25"/>
    <row r="377" spans="1:2" hidden="1" x14ac:dyDescent="0.25"/>
    <row r="378" spans="1:2" hidden="1" x14ac:dyDescent="0.25"/>
    <row r="379" spans="1:2" hidden="1" x14ac:dyDescent="0.25"/>
    <row r="380" spans="1:2" hidden="1" x14ac:dyDescent="0.25"/>
    <row r="382" spans="1:2" x14ac:dyDescent="0.25">
      <c r="A382" s="80" t="s">
        <v>179</v>
      </c>
      <c r="B382" s="80" t="s">
        <v>180</v>
      </c>
    </row>
    <row r="384" spans="1:2" x14ac:dyDescent="0.25">
      <c r="A384" s="80" t="s">
        <v>181</v>
      </c>
      <c r="B384" s="80" t="s">
        <v>182</v>
      </c>
    </row>
    <row r="385" spans="2:2" x14ac:dyDescent="0.25">
      <c r="B385" s="80" t="s">
        <v>183</v>
      </c>
    </row>
    <row r="386" spans="2:2" x14ac:dyDescent="0.25">
      <c r="B386" s="80" t="s">
        <v>184</v>
      </c>
    </row>
    <row r="387" spans="2:2" x14ac:dyDescent="0.25">
      <c r="B387" s="80" t="s">
        <v>185</v>
      </c>
    </row>
  </sheetData>
  <conditionalFormatting sqref="B22:AA30 K10:K18">
    <cfRule type="cellIs" dxfId="1" priority="1" stopIfTrue="1" operator="equal">
      <formula>0</formula>
    </cfRule>
  </conditionalFormatting>
  <conditionalFormatting sqref="L10:M18">
    <cfRule type="expression" dxfId="0" priority="2" stopIfTrue="1">
      <formula>$A10=""</formula>
    </cfRule>
  </conditionalFormatting>
  <printOptions headings="1" gridLines="1"/>
  <pageMargins left="0.26" right="0.2" top="1" bottom="1" header="0.5" footer="0.5"/>
  <pageSetup orientation="landscape" r:id="rId1"/>
  <headerFooter alignWithMargins="0">
    <oddHeader>&amp;A</oddHeader>
    <oddFoote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19" r:id="rId4" name="solverButton">
              <controlPr defaultSize="0" print="0" autoFill="0" autoPict="0" macro="[1]!CallSolver">
                <anchor moveWithCells="1" sizeWithCells="1">
                  <from>
                    <xdr:col>0</xdr:col>
                    <xdr:colOff>57150</xdr:colOff>
                    <xdr:row>1</xdr:row>
                    <xdr:rowOff>0</xdr:rowOff>
                  </from>
                  <to>
                    <xdr:col>1</xdr:col>
                    <xdr:colOff>504825</xdr:colOff>
                    <xdr:row>2</xdr:row>
                    <xdr:rowOff>38100</xdr:rowOff>
                  </to>
                </anchor>
              </controlPr>
            </control>
          </mc:Choice>
        </mc:AlternateContent>
        <mc:AlternateContent xmlns:mc="http://schemas.openxmlformats.org/markup-compatibility/2006">
          <mc:Choice Requires="x14">
            <control shapeId="34820" r:id="rId5" name="solverHelpButton">
              <controlPr defaultSize="0" print="0" autoFill="0" autoPict="0" macro="[1]!SolverHelp">
                <anchor moveWithCells="1" sizeWithCells="1">
                  <from>
                    <xdr:col>1</xdr:col>
                    <xdr:colOff>571500</xdr:colOff>
                    <xdr:row>1</xdr:row>
                    <xdr:rowOff>0</xdr:rowOff>
                  </from>
                  <to>
                    <xdr:col>4</xdr:col>
                    <xdr:colOff>38100</xdr:colOff>
                    <xdr:row>2</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1"/>
  <sheetViews>
    <sheetView zoomScaleNormal="100" workbookViewId="0">
      <selection activeCell="D21" sqref="D21"/>
    </sheetView>
  </sheetViews>
  <sheetFormatPr defaultRowHeight="15" x14ac:dyDescent="0.25"/>
  <cols>
    <col min="1" max="1" width="20.7109375" style="4" customWidth="1"/>
    <col min="2" max="2" width="25" style="4" customWidth="1"/>
    <col min="3" max="3" width="13.28515625" style="4" customWidth="1"/>
    <col min="4" max="4" width="43.42578125" style="4" bestFit="1" customWidth="1"/>
    <col min="5" max="16384" width="9.140625" style="4"/>
  </cols>
  <sheetData>
    <row r="1" spans="1:8" ht="19.5" x14ac:dyDescent="0.3">
      <c r="A1" s="2" t="s">
        <v>0</v>
      </c>
      <c r="B1" s="5"/>
      <c r="C1" s="5" t="s">
        <v>1</v>
      </c>
      <c r="D1" s="5"/>
      <c r="E1" s="5"/>
      <c r="F1" s="5"/>
      <c r="G1" s="5"/>
      <c r="H1" s="5"/>
    </row>
    <row r="2" spans="1:8" x14ac:dyDescent="0.25">
      <c r="A2" s="3"/>
      <c r="B2" s="3"/>
    </row>
    <row r="4" spans="1:8" ht="15.75" thickBot="1" x14ac:dyDescent="0.3">
      <c r="A4" s="6" t="s">
        <v>4</v>
      </c>
      <c r="D4" s="7" t="s">
        <v>5</v>
      </c>
    </row>
    <row r="5" spans="1:8" x14ac:dyDescent="0.25">
      <c r="A5" s="8" t="s">
        <v>2</v>
      </c>
      <c r="B5" s="9">
        <v>10</v>
      </c>
      <c r="D5" s="17" t="s">
        <v>9</v>
      </c>
      <c r="E5" s="20">
        <f>B5/B6</f>
        <v>0.83333333333333337</v>
      </c>
    </row>
    <row r="6" spans="1:8" ht="18" x14ac:dyDescent="0.35">
      <c r="A6" s="10" t="s">
        <v>3</v>
      </c>
      <c r="B6" s="11">
        <v>12</v>
      </c>
      <c r="D6" s="16" t="s">
        <v>10</v>
      </c>
      <c r="E6" s="21">
        <f>B5^2/(B6*(B6-B5))</f>
        <v>4.166666666666667</v>
      </c>
    </row>
    <row r="7" spans="1:8" ht="15.75" thickBot="1" x14ac:dyDescent="0.3">
      <c r="A7" s="12" t="s">
        <v>6</v>
      </c>
      <c r="B7" s="14">
        <v>1</v>
      </c>
      <c r="D7" s="16" t="s">
        <v>7</v>
      </c>
      <c r="E7" s="21">
        <f>B5/(B6-B5)</f>
        <v>5</v>
      </c>
    </row>
    <row r="8" spans="1:8" ht="18" x14ac:dyDescent="0.35">
      <c r="D8" s="16" t="s">
        <v>11</v>
      </c>
      <c r="E8" s="21">
        <f>B5/(B6*(B6-B5))</f>
        <v>0.41666666666666669</v>
      </c>
    </row>
    <row r="9" spans="1:8" x14ac:dyDescent="0.25">
      <c r="D9" s="16" t="s">
        <v>8</v>
      </c>
      <c r="E9" s="21">
        <f>1/(B6-B5)</f>
        <v>0.5</v>
      </c>
    </row>
    <row r="10" spans="1:8" ht="18.75" thickBot="1" x14ac:dyDescent="0.4">
      <c r="D10" s="19" t="s">
        <v>12</v>
      </c>
      <c r="E10" s="22">
        <f>1 - E5</f>
        <v>0.16666666666666663</v>
      </c>
    </row>
    <row r="11" spans="1:8" x14ac:dyDescent="0.25">
      <c r="A11" s="15" t="str">
        <f>IF(B5&gt;=B6,"The service rate must be greater than the arrival rate","")</f>
        <v/>
      </c>
    </row>
    <row r="12" spans="1:8" x14ac:dyDescent="0.25">
      <c r="A12" s="150" t="s">
        <v>17</v>
      </c>
      <c r="B12" s="150"/>
      <c r="C12" s="150"/>
    </row>
    <row r="13" spans="1:8" x14ac:dyDescent="0.25">
      <c r="A13" s="150"/>
      <c r="B13" s="150"/>
      <c r="C13" s="150"/>
    </row>
    <row r="14" spans="1:8" s="28" customFormat="1" x14ac:dyDescent="0.25">
      <c r="A14" s="150"/>
      <c r="B14" s="150"/>
      <c r="C14" s="150"/>
    </row>
    <row r="15" spans="1:8" x14ac:dyDescent="0.25">
      <c r="A15" s="150"/>
      <c r="B15" s="150"/>
      <c r="C15" s="150"/>
    </row>
    <row r="17" spans="1:3" x14ac:dyDescent="0.25">
      <c r="A17" s="4" t="s">
        <v>18</v>
      </c>
      <c r="C17" s="4">
        <f>E6</f>
        <v>4.166666666666667</v>
      </c>
    </row>
    <row r="18" spans="1:3" x14ac:dyDescent="0.25">
      <c r="A18" s="4" t="s">
        <v>19</v>
      </c>
      <c r="C18" s="4">
        <f>E8</f>
        <v>0.41666666666666669</v>
      </c>
    </row>
    <row r="19" spans="1:3" x14ac:dyDescent="0.25">
      <c r="A19" s="4" t="s">
        <v>20</v>
      </c>
      <c r="C19" s="4">
        <f>E9</f>
        <v>0.5</v>
      </c>
    </row>
    <row r="20" spans="1:3" x14ac:dyDescent="0.25">
      <c r="A20" s="4" t="s">
        <v>21</v>
      </c>
      <c r="C20" s="4">
        <f>E5</f>
        <v>0.83333333333333337</v>
      </c>
    </row>
    <row r="21" spans="1:3" x14ac:dyDescent="0.25">
      <c r="A21" s="4" t="s">
        <v>22</v>
      </c>
      <c r="C21" s="4">
        <f>E10</f>
        <v>0.16666666666666663</v>
      </c>
    </row>
  </sheetData>
  <mergeCells count="1">
    <mergeCell ref="A12:C15"/>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7"/>
  <sheetViews>
    <sheetView topLeftCell="B1" zoomScale="95" zoomScaleNormal="95" workbookViewId="0">
      <selection activeCell="D22" sqref="D22"/>
    </sheetView>
  </sheetViews>
  <sheetFormatPr defaultRowHeight="15" x14ac:dyDescent="0.25"/>
  <cols>
    <col min="1" max="1" width="17.7109375" style="4" customWidth="1"/>
    <col min="2" max="2" width="10.7109375" style="4" bestFit="1" customWidth="1"/>
    <col min="3" max="3" width="10.42578125" style="4" customWidth="1"/>
    <col min="4" max="4" width="43.42578125" style="4" bestFit="1" customWidth="1"/>
    <col min="5" max="5" width="7.7109375" style="4" customWidth="1"/>
    <col min="6" max="10" width="9.140625" style="4"/>
    <col min="11" max="11" width="10.42578125" style="4" customWidth="1"/>
    <col min="12" max="16384" width="9.140625" style="4"/>
  </cols>
  <sheetData>
    <row r="1" spans="1:17" ht="19.5" x14ac:dyDescent="0.3">
      <c r="A1" s="2" t="s">
        <v>0</v>
      </c>
      <c r="B1" s="5"/>
      <c r="C1" s="5" t="s">
        <v>23</v>
      </c>
      <c r="D1" s="5"/>
      <c r="E1" s="5"/>
      <c r="F1" s="5"/>
      <c r="G1" s="5"/>
      <c r="H1" s="5"/>
    </row>
    <row r="2" spans="1:17" ht="15.75" thickBot="1" x14ac:dyDescent="0.3">
      <c r="A2" s="3"/>
      <c r="B2" s="3"/>
      <c r="G2" s="1" t="s">
        <v>36</v>
      </c>
    </row>
    <row r="3" spans="1:17" x14ac:dyDescent="0.25">
      <c r="H3" s="151" t="s">
        <v>6</v>
      </c>
      <c r="I3" s="152"/>
      <c r="J3" s="152"/>
      <c r="K3" s="152"/>
      <c r="L3" s="152"/>
      <c r="M3" s="152"/>
      <c r="N3" s="152"/>
      <c r="O3" s="152"/>
      <c r="P3" s="152"/>
      <c r="Q3" s="29"/>
    </row>
    <row r="4" spans="1:17" ht="15.75" thickBot="1" x14ac:dyDescent="0.3">
      <c r="A4" s="6" t="s">
        <v>4</v>
      </c>
      <c r="D4" s="7" t="s">
        <v>5</v>
      </c>
      <c r="G4" s="30">
        <f>B7</f>
        <v>3</v>
      </c>
      <c r="H4" s="37">
        <v>1</v>
      </c>
      <c r="I4" s="38">
        <v>2</v>
      </c>
      <c r="J4" s="38">
        <v>3</v>
      </c>
      <c r="K4" s="38">
        <v>4</v>
      </c>
      <c r="L4" s="38">
        <v>5</v>
      </c>
      <c r="M4" s="38">
        <v>6</v>
      </c>
      <c r="N4" s="38">
        <v>7</v>
      </c>
      <c r="O4" s="38">
        <v>8</v>
      </c>
      <c r="P4" s="38">
        <v>9</v>
      </c>
      <c r="Q4" s="39">
        <v>10</v>
      </c>
    </row>
    <row r="5" spans="1:17" x14ac:dyDescent="0.25">
      <c r="A5" s="8" t="s">
        <v>2</v>
      </c>
      <c r="B5" s="9">
        <v>30</v>
      </c>
      <c r="D5" s="17" t="s">
        <v>9</v>
      </c>
      <c r="E5" s="20">
        <f>IF(B7*B6&gt;B5,B5/(B6*B7),"NA")</f>
        <v>0.5</v>
      </c>
      <c r="G5" s="30">
        <f>E5</f>
        <v>0.5</v>
      </c>
      <c r="H5" s="31" t="str">
        <f t="dataTable" ref="H5:Q12" dt2D="0" dtr="1" r1="B7"/>
        <v>NA</v>
      </c>
      <c r="I5" s="32">
        <v>0.75</v>
      </c>
      <c r="J5" s="32">
        <v>0.5</v>
      </c>
      <c r="K5" s="32">
        <v>0.375</v>
      </c>
      <c r="L5" s="32">
        <v>0.3</v>
      </c>
      <c r="M5" s="32">
        <v>0.25</v>
      </c>
      <c r="N5" s="32">
        <v>0.21428571428571427</v>
      </c>
      <c r="O5" s="32">
        <v>0.1875</v>
      </c>
      <c r="P5" s="32">
        <v>0.16666666666666666</v>
      </c>
      <c r="Q5" s="33">
        <v>0.15</v>
      </c>
    </row>
    <row r="6" spans="1:17" ht="18" x14ac:dyDescent="0.35">
      <c r="A6" s="10" t="s">
        <v>3</v>
      </c>
      <c r="B6" s="11">
        <v>20</v>
      </c>
      <c r="D6" s="16" t="s">
        <v>10</v>
      </c>
      <c r="E6" s="21">
        <f>IF(B7*B6&gt;B5,VLOOKUP($B$7,$A$38:$G$59,7),"NA")</f>
        <v>0.23684210526315788</v>
      </c>
      <c r="G6" s="30">
        <f t="shared" ref="G6:G12" si="0">E6</f>
        <v>0.23684210526315788</v>
      </c>
      <c r="H6" s="34" t="str">
        <v>NA</v>
      </c>
      <c r="I6" s="35">
        <v>1.9285714285714284</v>
      </c>
      <c r="J6" s="35">
        <v>0.23684210526315788</v>
      </c>
      <c r="K6" s="35">
        <v>4.4751381215469614E-2</v>
      </c>
      <c r="L6" s="35">
        <v>8.6311003765006736E-3</v>
      </c>
      <c r="M6" s="35">
        <v>1.5684907633321714E-3</v>
      </c>
      <c r="N6" s="35">
        <v>2.6255151087770004E-4</v>
      </c>
      <c r="O6" s="35">
        <v>4.0282850074820741E-5</v>
      </c>
      <c r="P6" s="35">
        <v>5.6731928098779215E-6</v>
      </c>
      <c r="Q6" s="36">
        <v>7.3614134497620312E-7</v>
      </c>
    </row>
    <row r="7" spans="1:17" x14ac:dyDescent="0.25">
      <c r="A7" s="10" t="s">
        <v>24</v>
      </c>
      <c r="B7" s="11">
        <v>3</v>
      </c>
      <c r="D7" s="16" t="s">
        <v>7</v>
      </c>
      <c r="E7" s="21">
        <f>IF(B7*B6&gt;B5,E6+B5/B6,"NA")</f>
        <v>1.736842105263158</v>
      </c>
      <c r="G7" s="30">
        <f t="shared" si="0"/>
        <v>1.736842105263158</v>
      </c>
      <c r="H7" s="34" t="str">
        <v>NA</v>
      </c>
      <c r="I7" s="35">
        <v>3.4285714285714284</v>
      </c>
      <c r="J7" s="35">
        <v>1.736842105263158</v>
      </c>
      <c r="K7" s="35">
        <v>1.5447513812154696</v>
      </c>
      <c r="L7" s="35">
        <v>1.5086311003765007</v>
      </c>
      <c r="M7" s="35">
        <v>1.5015684907633322</v>
      </c>
      <c r="N7" s="35">
        <v>1.5002625515108776</v>
      </c>
      <c r="O7" s="35">
        <v>1.5000402828500747</v>
      </c>
      <c r="P7" s="35">
        <v>1.50000567319281</v>
      </c>
      <c r="Q7" s="36">
        <v>1.500000736141345</v>
      </c>
    </row>
    <row r="8" spans="1:17" ht="18" x14ac:dyDescent="0.35">
      <c r="A8" s="10" t="s">
        <v>25</v>
      </c>
      <c r="B8" s="11">
        <v>300</v>
      </c>
      <c r="D8" s="16" t="s">
        <v>11</v>
      </c>
      <c r="E8" s="21">
        <f>IF(B7*B6&gt;B5,E6/B5,"NA")</f>
        <v>7.8947368421052634E-3</v>
      </c>
      <c r="G8" s="30">
        <f t="shared" si="0"/>
        <v>7.8947368421052634E-3</v>
      </c>
      <c r="H8" s="34" t="str">
        <v>NA</v>
      </c>
      <c r="I8" s="35">
        <v>6.4285714285714279E-2</v>
      </c>
      <c r="J8" s="35">
        <v>7.8947368421052634E-3</v>
      </c>
      <c r="K8" s="35">
        <v>1.4917127071823204E-3</v>
      </c>
      <c r="L8" s="35">
        <v>2.877033458833558E-4</v>
      </c>
      <c r="M8" s="35">
        <v>5.2283025444405711E-5</v>
      </c>
      <c r="N8" s="35">
        <v>8.7517170292566682E-6</v>
      </c>
      <c r="O8" s="35">
        <v>1.3427616691606913E-6</v>
      </c>
      <c r="P8" s="35">
        <v>1.8910642699593071E-7</v>
      </c>
      <c r="Q8" s="36">
        <v>2.4538044832540103E-8</v>
      </c>
    </row>
    <row r="9" spans="1:17" ht="15.75" thickBot="1" x14ac:dyDescent="0.3">
      <c r="A9" s="12" t="s">
        <v>26</v>
      </c>
      <c r="B9" s="13">
        <v>100</v>
      </c>
      <c r="D9" s="16" t="s">
        <v>8</v>
      </c>
      <c r="E9" s="21">
        <f>IF(B7*B6&gt;B5,E8+1/B6,"NA")</f>
        <v>5.7894736842105263E-2</v>
      </c>
      <c r="G9" s="30">
        <f t="shared" si="0"/>
        <v>5.7894736842105263E-2</v>
      </c>
      <c r="H9" s="34" t="str">
        <v>NA</v>
      </c>
      <c r="I9" s="35">
        <v>0.11428571428571428</v>
      </c>
      <c r="J9" s="35">
        <v>5.7894736842105263E-2</v>
      </c>
      <c r="K9" s="35">
        <v>5.1491712707182322E-2</v>
      </c>
      <c r="L9" s="35">
        <v>5.028770334588336E-2</v>
      </c>
      <c r="M9" s="35">
        <v>5.0052283025444406E-2</v>
      </c>
      <c r="N9" s="35">
        <v>5.0008751717029259E-2</v>
      </c>
      <c r="O9" s="35">
        <v>5.0001342761669162E-2</v>
      </c>
      <c r="P9" s="35">
        <v>5.0000189106427E-2</v>
      </c>
      <c r="Q9" s="36">
        <v>5.0000024538044835E-2</v>
      </c>
    </row>
    <row r="10" spans="1:17" ht="18" x14ac:dyDescent="0.35">
      <c r="D10" s="16" t="s">
        <v>12</v>
      </c>
      <c r="E10" s="21">
        <f>IF(B7*B6&gt;B5,VLOOKUP($B$7,$A$38:$G$59,5),"NA")</f>
        <v>0.21052631578947367</v>
      </c>
      <c r="G10" s="30">
        <f t="shared" si="0"/>
        <v>0.21052631578947367</v>
      </c>
      <c r="H10" s="34" t="str">
        <v>NA</v>
      </c>
      <c r="I10" s="35">
        <v>0.14285714285714285</v>
      </c>
      <c r="J10" s="35">
        <v>0.21052631578947367</v>
      </c>
      <c r="K10" s="35">
        <v>0.22099447513812154</v>
      </c>
      <c r="L10" s="35">
        <v>0.22277473893585281</v>
      </c>
      <c r="M10" s="35">
        <v>0.22307424189613104</v>
      </c>
      <c r="N10" s="35">
        <v>0.22312196436070331</v>
      </c>
      <c r="O10" s="35">
        <v>0.22312904580629742</v>
      </c>
      <c r="P10" s="35">
        <v>0.22313001954021922</v>
      </c>
      <c r="Q10" s="36">
        <v>0.2231301436441728</v>
      </c>
    </row>
    <row r="11" spans="1:17" x14ac:dyDescent="0.25">
      <c r="A11" s="15" t="str">
        <f>IF(B5&gt;=B6*B7,"The total service rate (rate*servers) must be greater than the arrival rate","")</f>
        <v/>
      </c>
      <c r="D11" s="16" t="s">
        <v>34</v>
      </c>
      <c r="E11" s="21">
        <f>IF(B7*B6&gt;B5,B8*B7+B9*E6,"NA")</f>
        <v>923.68421052631584</v>
      </c>
      <c r="G11" s="30">
        <f t="shared" si="0"/>
        <v>923.68421052631584</v>
      </c>
      <c r="H11" s="34" t="str">
        <v>NA</v>
      </c>
      <c r="I11" s="35">
        <v>792.85714285714289</v>
      </c>
      <c r="J11" s="35">
        <v>923.68421052631584</v>
      </c>
      <c r="K11" s="35">
        <v>1204.4751381215469</v>
      </c>
      <c r="L11" s="35">
        <v>1500.8631100376501</v>
      </c>
      <c r="M11" s="35">
        <v>1800.1568490763332</v>
      </c>
      <c r="N11" s="35">
        <v>2100.0262551510878</v>
      </c>
      <c r="O11" s="35">
        <v>2400.0040282850073</v>
      </c>
      <c r="P11" s="35">
        <v>2700.0005673192809</v>
      </c>
      <c r="Q11" s="36">
        <v>3000.0000736141346</v>
      </c>
    </row>
    <row r="12" spans="1:17" s="28" customFormat="1" ht="15.75" thickBot="1" x14ac:dyDescent="0.3">
      <c r="D12" s="40" t="s">
        <v>35</v>
      </c>
      <c r="E12" s="41">
        <f>IF(B7*B6&gt;B5,B8*B7+B9*E7,"NA")</f>
        <v>1073.6842105263158</v>
      </c>
      <c r="G12" s="42">
        <f t="shared" si="0"/>
        <v>1073.6842105263158</v>
      </c>
      <c r="H12" s="43" t="str">
        <v>NA</v>
      </c>
      <c r="I12" s="44">
        <v>942.85714285714289</v>
      </c>
      <c r="J12" s="44">
        <v>1073.6842105263158</v>
      </c>
      <c r="K12" s="44">
        <v>1354.4751381215469</v>
      </c>
      <c r="L12" s="44">
        <v>1650.8631100376501</v>
      </c>
      <c r="M12" s="44">
        <v>1950.1568490763332</v>
      </c>
      <c r="N12" s="44">
        <v>2250.0262551510878</v>
      </c>
      <c r="O12" s="44">
        <v>2550.0040282850073</v>
      </c>
      <c r="P12" s="44">
        <v>2850.0005673192809</v>
      </c>
      <c r="Q12" s="45">
        <v>3150.0000736141346</v>
      </c>
    </row>
    <row r="14" spans="1:17" ht="15.75" thickBot="1" x14ac:dyDescent="0.3">
      <c r="A14" s="7" t="s">
        <v>16</v>
      </c>
    </row>
    <row r="15" spans="1:17" x14ac:dyDescent="0.25">
      <c r="A15" s="17" t="s">
        <v>13</v>
      </c>
      <c r="B15" s="18" t="s">
        <v>14</v>
      </c>
      <c r="C15" s="20" t="s">
        <v>15</v>
      </c>
      <c r="E15" s="46" t="s">
        <v>37</v>
      </c>
      <c r="K15" s="4">
        <f>E8</f>
        <v>7.8947368421052634E-3</v>
      </c>
    </row>
    <row r="16" spans="1:17" x14ac:dyDescent="0.25">
      <c r="A16" s="16">
        <v>0</v>
      </c>
      <c r="B16" s="24">
        <f>VLOOKUP(B7,A37:E59,5)</f>
        <v>0.21052631578947367</v>
      </c>
      <c r="C16" s="26">
        <f>B16</f>
        <v>0.21052631578947367</v>
      </c>
      <c r="E16" s="4" t="s">
        <v>38</v>
      </c>
      <c r="L16" s="4">
        <f>E8</f>
        <v>7.8947368421052634E-3</v>
      </c>
    </row>
    <row r="17" spans="1:8" x14ac:dyDescent="0.25">
      <c r="A17" s="16">
        <f>A16+1</f>
        <v>1</v>
      </c>
      <c r="B17" s="24">
        <f>IF(A17&lt;=$B$7,($B$5/$B$6)^A17*$E$10/FACT(A17),($B$5/$B$6)^A17*$E$10/(FACT($B$7)*$B$7^(A17-$B$7)))</f>
        <v>0.31578947368421051</v>
      </c>
      <c r="C17" s="26">
        <f>C16+B17</f>
        <v>0.52631578947368418</v>
      </c>
      <c r="E17" s="4" t="s">
        <v>39</v>
      </c>
      <c r="H17" s="4">
        <f>E11</f>
        <v>923.68421052631584</v>
      </c>
    </row>
    <row r="18" spans="1:8" x14ac:dyDescent="0.25">
      <c r="A18" s="16">
        <f t="shared" ref="A18:A36" si="1">A17+1</f>
        <v>2</v>
      </c>
      <c r="B18" s="24">
        <f t="shared" ref="B18:B36" si="2">IF(A18&lt;=$B$7,($B$5/$B$6)^A18*$E$10/FACT(A18),($B$5/$B$6)^A18*$E$10/(FACT($B$7)*$B$7^(A18-$B$7)))</f>
        <v>0.23684210526315788</v>
      </c>
      <c r="C18" s="26">
        <f t="shared" ref="C18:C36" si="3">C17+B18</f>
        <v>0.76315789473684204</v>
      </c>
      <c r="E18" s="4" t="s">
        <v>40</v>
      </c>
      <c r="G18" s="4">
        <f>E12</f>
        <v>1073.6842105263158</v>
      </c>
    </row>
    <row r="19" spans="1:8" x14ac:dyDescent="0.25">
      <c r="A19" s="16">
        <f t="shared" si="1"/>
        <v>3</v>
      </c>
      <c r="B19" s="24">
        <f t="shared" si="2"/>
        <v>0.11842105263157894</v>
      </c>
      <c r="C19" s="26">
        <f t="shared" si="3"/>
        <v>0.88157894736842102</v>
      </c>
      <c r="E19" s="4" t="s">
        <v>41</v>
      </c>
    </row>
    <row r="20" spans="1:8" x14ac:dyDescent="0.25">
      <c r="A20" s="16">
        <f t="shared" si="1"/>
        <v>4</v>
      </c>
      <c r="B20" s="24">
        <f t="shared" si="2"/>
        <v>5.9210526315789463E-2</v>
      </c>
      <c r="C20" s="26">
        <f t="shared" si="3"/>
        <v>0.94078947368421051</v>
      </c>
    </row>
    <row r="21" spans="1:8" x14ac:dyDescent="0.25">
      <c r="A21" s="16">
        <f t="shared" si="1"/>
        <v>5</v>
      </c>
      <c r="B21" s="24">
        <f t="shared" si="2"/>
        <v>2.9605263157894735E-2</v>
      </c>
      <c r="C21" s="26">
        <f t="shared" si="3"/>
        <v>0.9703947368421052</v>
      </c>
    </row>
    <row r="22" spans="1:8" x14ac:dyDescent="0.25">
      <c r="A22" s="16">
        <f t="shared" si="1"/>
        <v>6</v>
      </c>
      <c r="B22" s="24">
        <f t="shared" si="2"/>
        <v>1.4802631578947368E-2</v>
      </c>
      <c r="C22" s="26">
        <f t="shared" si="3"/>
        <v>0.98519736842105254</v>
      </c>
    </row>
    <row r="23" spans="1:8" x14ac:dyDescent="0.25">
      <c r="A23" s="16">
        <f t="shared" si="1"/>
        <v>7</v>
      </c>
      <c r="B23" s="24">
        <f t="shared" si="2"/>
        <v>7.4013157894736838E-3</v>
      </c>
      <c r="C23" s="26">
        <f t="shared" si="3"/>
        <v>0.99259868421052622</v>
      </c>
    </row>
    <row r="24" spans="1:8" x14ac:dyDescent="0.25">
      <c r="A24" s="16">
        <f t="shared" si="1"/>
        <v>8</v>
      </c>
      <c r="B24" s="24">
        <f t="shared" si="2"/>
        <v>3.7006578947368423E-3</v>
      </c>
      <c r="C24" s="26">
        <f t="shared" si="3"/>
        <v>0.99629934210526305</v>
      </c>
    </row>
    <row r="25" spans="1:8" x14ac:dyDescent="0.25">
      <c r="A25" s="16">
        <f t="shared" si="1"/>
        <v>9</v>
      </c>
      <c r="B25" s="24">
        <f t="shared" si="2"/>
        <v>1.8503289473684207E-3</v>
      </c>
      <c r="C25" s="26">
        <f t="shared" si="3"/>
        <v>0.99814967105263153</v>
      </c>
    </row>
    <row r="26" spans="1:8" x14ac:dyDescent="0.25">
      <c r="A26" s="16">
        <f t="shared" si="1"/>
        <v>10</v>
      </c>
      <c r="B26" s="24">
        <f t="shared" si="2"/>
        <v>9.2516447368421058E-4</v>
      </c>
      <c r="C26" s="26">
        <f t="shared" si="3"/>
        <v>0.99907483552631571</v>
      </c>
    </row>
    <row r="27" spans="1:8" x14ac:dyDescent="0.25">
      <c r="A27" s="16">
        <f t="shared" si="1"/>
        <v>11</v>
      </c>
      <c r="B27" s="24">
        <f t="shared" si="2"/>
        <v>4.6258223684210524E-4</v>
      </c>
      <c r="C27" s="26">
        <f t="shared" si="3"/>
        <v>0.99953741776315785</v>
      </c>
    </row>
    <row r="28" spans="1:8" x14ac:dyDescent="0.25">
      <c r="A28" s="16">
        <f t="shared" si="1"/>
        <v>12</v>
      </c>
      <c r="B28" s="24">
        <f t="shared" si="2"/>
        <v>2.3129111842105262E-4</v>
      </c>
      <c r="C28" s="26">
        <f t="shared" si="3"/>
        <v>0.99976870888157887</v>
      </c>
    </row>
    <row r="29" spans="1:8" x14ac:dyDescent="0.25">
      <c r="A29" s="16">
        <f t="shared" si="1"/>
        <v>13</v>
      </c>
      <c r="B29" s="24">
        <f t="shared" si="2"/>
        <v>1.156455592105263E-4</v>
      </c>
      <c r="C29" s="26">
        <f t="shared" si="3"/>
        <v>0.99988435444078938</v>
      </c>
    </row>
    <row r="30" spans="1:8" x14ac:dyDescent="0.25">
      <c r="A30" s="16">
        <f t="shared" si="1"/>
        <v>14</v>
      </c>
      <c r="B30" s="24">
        <f t="shared" si="2"/>
        <v>5.7822779605263155E-5</v>
      </c>
      <c r="C30" s="26">
        <f t="shared" si="3"/>
        <v>0.99994217722039469</v>
      </c>
    </row>
    <row r="31" spans="1:8" x14ac:dyDescent="0.25">
      <c r="A31" s="16">
        <f t="shared" si="1"/>
        <v>15</v>
      </c>
      <c r="B31" s="24">
        <f t="shared" si="2"/>
        <v>2.8911389802631577E-5</v>
      </c>
      <c r="C31" s="26">
        <f t="shared" si="3"/>
        <v>0.99997108861019735</v>
      </c>
    </row>
    <row r="32" spans="1:8" x14ac:dyDescent="0.25">
      <c r="A32" s="16">
        <f t="shared" si="1"/>
        <v>16</v>
      </c>
      <c r="B32" s="24">
        <f t="shared" si="2"/>
        <v>1.4455694901315787E-5</v>
      </c>
      <c r="C32" s="26">
        <f t="shared" si="3"/>
        <v>0.99998554430509867</v>
      </c>
    </row>
    <row r="33" spans="1:10" x14ac:dyDescent="0.25">
      <c r="A33" s="16">
        <f t="shared" si="1"/>
        <v>17</v>
      </c>
      <c r="B33" s="24">
        <f t="shared" si="2"/>
        <v>7.2278474506578943E-6</v>
      </c>
      <c r="C33" s="26">
        <f t="shared" si="3"/>
        <v>0.99999277215254934</v>
      </c>
    </row>
    <row r="34" spans="1:10" x14ac:dyDescent="0.25">
      <c r="A34" s="16">
        <f t="shared" si="1"/>
        <v>18</v>
      </c>
      <c r="B34" s="24">
        <f t="shared" si="2"/>
        <v>3.6139237253289476E-6</v>
      </c>
      <c r="C34" s="26">
        <f t="shared" si="3"/>
        <v>0.99999638607627461</v>
      </c>
    </row>
    <row r="35" spans="1:10" x14ac:dyDescent="0.25">
      <c r="A35" s="16">
        <f t="shared" si="1"/>
        <v>19</v>
      </c>
      <c r="B35" s="24">
        <f t="shared" si="2"/>
        <v>1.8069618626644736E-6</v>
      </c>
      <c r="C35" s="26">
        <f t="shared" si="3"/>
        <v>0.99999819303813731</v>
      </c>
    </row>
    <row r="36" spans="1:10" ht="15.75" thickBot="1" x14ac:dyDescent="0.3">
      <c r="A36" s="19">
        <f t="shared" si="1"/>
        <v>20</v>
      </c>
      <c r="B36" s="25">
        <f t="shared" si="2"/>
        <v>9.0348093133223679E-7</v>
      </c>
      <c r="C36" s="27">
        <f t="shared" si="3"/>
        <v>0.9999990965190686</v>
      </c>
      <c r="D36" s="4" t="s">
        <v>27</v>
      </c>
      <c r="E36" s="4" t="s">
        <v>28</v>
      </c>
      <c r="F36" s="4" t="s">
        <v>29</v>
      </c>
      <c r="G36" s="4" t="s">
        <v>30</v>
      </c>
      <c r="H36" s="4" t="s">
        <v>31</v>
      </c>
      <c r="I36" s="4" t="s">
        <v>32</v>
      </c>
      <c r="J36" s="4" t="s">
        <v>33</v>
      </c>
    </row>
    <row r="37" spans="1:10" x14ac:dyDescent="0.25">
      <c r="A37" s="4">
        <v>0</v>
      </c>
      <c r="B37" s="23">
        <v>1</v>
      </c>
      <c r="C37" s="23"/>
    </row>
    <row r="38" spans="1:10" x14ac:dyDescent="0.25">
      <c r="A38" s="4">
        <v>1</v>
      </c>
      <c r="B38" s="4">
        <f>($B$5/$B$6)^A38/FACT(A38)</f>
        <v>1.5</v>
      </c>
      <c r="C38" s="4">
        <f>SUM(B37:$B$37)</f>
        <v>1</v>
      </c>
      <c r="D38" s="4">
        <f>+B38/(1-$B$5/(A38*$B$6))</f>
        <v>-3</v>
      </c>
      <c r="E38" s="4">
        <f>1/(C38+D38)</f>
        <v>-0.5</v>
      </c>
      <c r="F38" s="4">
        <f>$B$5/($B$6*A38)</f>
        <v>1.5</v>
      </c>
      <c r="G38" s="4">
        <f>+E38*B38*F38/(1-F38)^2</f>
        <v>-4.5</v>
      </c>
      <c r="H38" s="4">
        <f>G38+$B$5/$B$6</f>
        <v>-3</v>
      </c>
      <c r="I38" s="4">
        <f>G38/$B$5</f>
        <v>-0.15</v>
      </c>
      <c r="J38" s="4">
        <f>I38+1/$B$6</f>
        <v>-9.9999999999999992E-2</v>
      </c>
    </row>
    <row r="39" spans="1:10" x14ac:dyDescent="0.25">
      <c r="A39" s="4">
        <v>2</v>
      </c>
      <c r="B39" s="4">
        <f t="shared" ref="B39:B59" si="4">($B$5/$B$6)^A39/FACT(A39)</f>
        <v>1.125</v>
      </c>
      <c r="C39" s="4">
        <f>SUM(B$37:$B38)</f>
        <v>2.5</v>
      </c>
      <c r="D39" s="4">
        <f t="shared" ref="D39:D59" si="5">+B39/(1-$B$5/(A39*$B$6))</f>
        <v>4.5</v>
      </c>
      <c r="E39" s="4">
        <f t="shared" ref="E39:E59" si="6">1/(C39+D39)</f>
        <v>0.14285714285714285</v>
      </c>
      <c r="F39" s="4">
        <f t="shared" ref="F39:F59" si="7">$B$5/($B$6*A39)</f>
        <v>0.75</v>
      </c>
      <c r="G39" s="4">
        <f t="shared" ref="G39:G59" si="8">+E39*B39*F39/(1-F39)^2</f>
        <v>1.9285714285714284</v>
      </c>
      <c r="H39" s="4">
        <f t="shared" ref="H39:H59" si="9">G39+$B$5/$B$6</f>
        <v>3.4285714285714284</v>
      </c>
      <c r="I39" s="4">
        <f t="shared" ref="I39:I59" si="10">G39/$B$5</f>
        <v>6.4285714285714279E-2</v>
      </c>
      <c r="J39" s="4">
        <f t="shared" ref="J39:J59" si="11">I39+1/$B$6</f>
        <v>0.11428571428571428</v>
      </c>
    </row>
    <row r="40" spans="1:10" x14ac:dyDescent="0.25">
      <c r="A40" s="4">
        <v>3</v>
      </c>
      <c r="B40" s="4">
        <f t="shared" si="4"/>
        <v>0.5625</v>
      </c>
      <c r="C40" s="4">
        <f>SUM(B$37:$B39)</f>
        <v>3.625</v>
      </c>
      <c r="D40" s="4">
        <f t="shared" si="5"/>
        <v>1.125</v>
      </c>
      <c r="E40" s="4">
        <f t="shared" si="6"/>
        <v>0.21052631578947367</v>
      </c>
      <c r="F40" s="4">
        <f t="shared" si="7"/>
        <v>0.5</v>
      </c>
      <c r="G40" s="4">
        <f t="shared" si="8"/>
        <v>0.23684210526315788</v>
      </c>
      <c r="H40" s="4">
        <f t="shared" si="9"/>
        <v>1.736842105263158</v>
      </c>
      <c r="I40" s="4">
        <f t="shared" si="10"/>
        <v>7.8947368421052634E-3</v>
      </c>
      <c r="J40" s="4">
        <f t="shared" si="11"/>
        <v>5.7894736842105263E-2</v>
      </c>
    </row>
    <row r="41" spans="1:10" x14ac:dyDescent="0.25">
      <c r="A41" s="4">
        <v>4</v>
      </c>
      <c r="B41" s="4">
        <f t="shared" si="4"/>
        <v>0.2109375</v>
      </c>
      <c r="C41" s="4">
        <f>SUM(B$37:$B40)</f>
        <v>4.1875</v>
      </c>
      <c r="D41" s="4">
        <f t="shared" si="5"/>
        <v>0.33750000000000002</v>
      </c>
      <c r="E41" s="4">
        <f t="shared" si="6"/>
        <v>0.22099447513812154</v>
      </c>
      <c r="F41" s="4">
        <f t="shared" si="7"/>
        <v>0.375</v>
      </c>
      <c r="G41" s="4">
        <f t="shared" si="8"/>
        <v>4.4751381215469614E-2</v>
      </c>
      <c r="H41" s="4">
        <f t="shared" si="9"/>
        <v>1.5447513812154696</v>
      </c>
      <c r="I41" s="4">
        <f t="shared" si="10"/>
        <v>1.4917127071823204E-3</v>
      </c>
      <c r="J41" s="4">
        <f t="shared" si="11"/>
        <v>5.1491712707182322E-2</v>
      </c>
    </row>
    <row r="42" spans="1:10" x14ac:dyDescent="0.25">
      <c r="A42" s="4">
        <v>5</v>
      </c>
      <c r="B42" s="4">
        <f t="shared" si="4"/>
        <v>6.3281249999999997E-2</v>
      </c>
      <c r="C42" s="4">
        <f>SUM(B$37:$B41)</f>
        <v>4.3984375</v>
      </c>
      <c r="D42" s="4">
        <f t="shared" si="5"/>
        <v>9.0401785714285712E-2</v>
      </c>
      <c r="E42" s="4">
        <f t="shared" si="6"/>
        <v>0.22277473893585281</v>
      </c>
      <c r="F42" s="4">
        <f t="shared" si="7"/>
        <v>0.3</v>
      </c>
      <c r="G42" s="4">
        <f t="shared" si="8"/>
        <v>8.6311003765006736E-3</v>
      </c>
      <c r="H42" s="4">
        <f t="shared" si="9"/>
        <v>1.5086311003765007</v>
      </c>
      <c r="I42" s="4">
        <f t="shared" si="10"/>
        <v>2.877033458833558E-4</v>
      </c>
      <c r="J42" s="4">
        <f t="shared" si="11"/>
        <v>5.028770334588336E-2</v>
      </c>
    </row>
    <row r="43" spans="1:10" x14ac:dyDescent="0.25">
      <c r="A43" s="4">
        <v>6</v>
      </c>
      <c r="B43" s="4">
        <f t="shared" si="4"/>
        <v>1.5820312499999999E-2</v>
      </c>
      <c r="C43" s="4">
        <f>SUM(B$37:$B42)</f>
        <v>4.4617187500000002</v>
      </c>
      <c r="D43" s="4">
        <f t="shared" si="5"/>
        <v>2.1093749999999998E-2</v>
      </c>
      <c r="E43" s="4">
        <f t="shared" si="6"/>
        <v>0.22307424189613104</v>
      </c>
      <c r="F43" s="4">
        <f t="shared" si="7"/>
        <v>0.25</v>
      </c>
      <c r="G43" s="4">
        <f t="shared" si="8"/>
        <v>1.5684907633321714E-3</v>
      </c>
      <c r="H43" s="4">
        <f t="shared" si="9"/>
        <v>1.5015684907633322</v>
      </c>
      <c r="I43" s="4">
        <f t="shared" si="10"/>
        <v>5.2283025444405711E-5</v>
      </c>
      <c r="J43" s="4">
        <f t="shared" si="11"/>
        <v>5.0052283025444406E-2</v>
      </c>
    </row>
    <row r="44" spans="1:10" x14ac:dyDescent="0.25">
      <c r="A44" s="4">
        <v>7</v>
      </c>
      <c r="B44" s="4">
        <f t="shared" si="4"/>
        <v>3.3900669642857144E-3</v>
      </c>
      <c r="C44" s="4">
        <f>SUM(B$37:$B43)</f>
        <v>4.4775390625</v>
      </c>
      <c r="D44" s="4">
        <f t="shared" si="5"/>
        <v>4.3146306818181816E-3</v>
      </c>
      <c r="E44" s="4">
        <f t="shared" si="6"/>
        <v>0.22312196436070331</v>
      </c>
      <c r="F44" s="4">
        <f t="shared" si="7"/>
        <v>0.21428571428571427</v>
      </c>
      <c r="G44" s="4">
        <f t="shared" si="8"/>
        <v>2.6255151087770004E-4</v>
      </c>
      <c r="H44" s="4">
        <f t="shared" si="9"/>
        <v>1.5002625515108776</v>
      </c>
      <c r="I44" s="4">
        <f t="shared" si="10"/>
        <v>8.7517170292566682E-6</v>
      </c>
      <c r="J44" s="4">
        <f t="shared" si="11"/>
        <v>5.0008751717029259E-2</v>
      </c>
    </row>
    <row r="45" spans="1:10" x14ac:dyDescent="0.25">
      <c r="A45" s="4">
        <v>8</v>
      </c>
      <c r="B45" s="4">
        <f t="shared" si="4"/>
        <v>6.3563755580357145E-4</v>
      </c>
      <c r="C45" s="4">
        <f>SUM(B$37:$B44)</f>
        <v>4.4809291294642861</v>
      </c>
      <c r="D45" s="4">
        <f t="shared" si="5"/>
        <v>7.8232314560439564E-4</v>
      </c>
      <c r="E45" s="4">
        <f t="shared" si="6"/>
        <v>0.22312904580629742</v>
      </c>
      <c r="F45" s="4">
        <f t="shared" si="7"/>
        <v>0.1875</v>
      </c>
      <c r="G45" s="4">
        <f t="shared" si="8"/>
        <v>4.0282850074820741E-5</v>
      </c>
      <c r="H45" s="4">
        <f t="shared" si="9"/>
        <v>1.5000402828500747</v>
      </c>
      <c r="I45" s="4">
        <f t="shared" si="10"/>
        <v>1.3427616691606913E-6</v>
      </c>
      <c r="J45" s="4">
        <f t="shared" si="11"/>
        <v>5.0001342761669162E-2</v>
      </c>
    </row>
    <row r="46" spans="1:10" x14ac:dyDescent="0.25">
      <c r="A46" s="4">
        <v>9</v>
      </c>
      <c r="B46" s="4">
        <f t="shared" si="4"/>
        <v>1.0593959263392857E-4</v>
      </c>
      <c r="C46" s="4">
        <f>SUM(B$37:$B45)</f>
        <v>4.4815647670200898</v>
      </c>
      <c r="D46" s="4">
        <f t="shared" si="5"/>
        <v>1.2712751116071428E-4</v>
      </c>
      <c r="E46" s="4">
        <f t="shared" si="6"/>
        <v>0.22313001954021922</v>
      </c>
      <c r="F46" s="4">
        <f t="shared" si="7"/>
        <v>0.16666666666666666</v>
      </c>
      <c r="G46" s="4">
        <f t="shared" si="8"/>
        <v>5.6731928098779215E-6</v>
      </c>
      <c r="H46" s="4">
        <f t="shared" si="9"/>
        <v>1.50000567319281</v>
      </c>
      <c r="I46" s="4">
        <f t="shared" si="10"/>
        <v>1.8910642699593071E-7</v>
      </c>
      <c r="J46" s="4">
        <f t="shared" si="11"/>
        <v>5.0000189106427E-2</v>
      </c>
    </row>
    <row r="47" spans="1:10" x14ac:dyDescent="0.25">
      <c r="A47" s="4">
        <v>10</v>
      </c>
      <c r="B47" s="4">
        <f t="shared" si="4"/>
        <v>1.5890938895089285E-5</v>
      </c>
      <c r="C47" s="4">
        <f>SUM(B$37:$B46)</f>
        <v>4.4816707066127233</v>
      </c>
      <c r="D47" s="4">
        <f t="shared" si="5"/>
        <v>1.8695222229516805E-5</v>
      </c>
      <c r="E47" s="4">
        <f t="shared" si="6"/>
        <v>0.2231301436441728</v>
      </c>
      <c r="F47" s="4">
        <f t="shared" si="7"/>
        <v>0.15</v>
      </c>
      <c r="G47" s="4">
        <f t="shared" si="8"/>
        <v>7.3614134497620312E-7</v>
      </c>
      <c r="H47" s="4">
        <f t="shared" si="9"/>
        <v>1.500000736141345</v>
      </c>
      <c r="I47" s="4">
        <f t="shared" si="10"/>
        <v>2.4538044832540103E-8</v>
      </c>
      <c r="J47" s="4">
        <f t="shared" si="11"/>
        <v>5.0000024538044835E-2</v>
      </c>
    </row>
    <row r="48" spans="1:10" x14ac:dyDescent="0.25">
      <c r="A48" s="4">
        <v>11</v>
      </c>
      <c r="B48" s="4">
        <f t="shared" si="4"/>
        <v>2.1669462129667207E-6</v>
      </c>
      <c r="C48" s="4">
        <f>SUM(B$37:$B47)</f>
        <v>4.4816865975516187</v>
      </c>
      <c r="D48" s="4">
        <f t="shared" si="5"/>
        <v>2.5090956150140977E-6</v>
      </c>
      <c r="E48" s="4">
        <f t="shared" si="6"/>
        <v>0.22313015834070277</v>
      </c>
      <c r="F48" s="4">
        <f t="shared" si="7"/>
        <v>0.13636363636363635</v>
      </c>
      <c r="G48" s="4">
        <f t="shared" si="8"/>
        <v>8.8398142400535551E-8</v>
      </c>
      <c r="H48" s="4">
        <f t="shared" si="9"/>
        <v>1.5000000883981424</v>
      </c>
      <c r="I48" s="4">
        <f t="shared" si="10"/>
        <v>2.9466047466845182E-9</v>
      </c>
      <c r="J48" s="4">
        <f t="shared" si="11"/>
        <v>5.0000002946604748E-2</v>
      </c>
    </row>
    <row r="49" spans="1:10" x14ac:dyDescent="0.25">
      <c r="A49" s="4">
        <v>12</v>
      </c>
      <c r="B49" s="4">
        <f t="shared" si="4"/>
        <v>2.7086827662084009E-7</v>
      </c>
      <c r="C49" s="4">
        <f>SUM(B$37:$B48)</f>
        <v>4.4816887644978314</v>
      </c>
      <c r="D49" s="4">
        <f t="shared" si="5"/>
        <v>3.0956374470953155E-7</v>
      </c>
      <c r="E49" s="4">
        <f t="shared" si="6"/>
        <v>0.22313015996304714</v>
      </c>
      <c r="F49" s="4">
        <f t="shared" si="7"/>
        <v>0.125</v>
      </c>
      <c r="G49" s="4">
        <f t="shared" si="8"/>
        <v>9.8675725536853788E-9</v>
      </c>
      <c r="H49" s="4">
        <f t="shared" si="9"/>
        <v>1.5000000098675725</v>
      </c>
      <c r="I49" s="4">
        <f t="shared" si="10"/>
        <v>3.2891908512284598E-10</v>
      </c>
      <c r="J49" s="4">
        <f t="shared" si="11"/>
        <v>5.0000000328919089E-2</v>
      </c>
    </row>
    <row r="50" spans="1:10" x14ac:dyDescent="0.25">
      <c r="A50" s="4">
        <v>13</v>
      </c>
      <c r="B50" s="4">
        <f t="shared" si="4"/>
        <v>3.1254031917789239E-8</v>
      </c>
      <c r="C50" s="4">
        <f>SUM(B$37:$B49)</f>
        <v>4.4816890353661076</v>
      </c>
      <c r="D50" s="4">
        <f t="shared" si="5"/>
        <v>3.5330644776631314E-8</v>
      </c>
      <c r="E50" s="4">
        <f t="shared" si="6"/>
        <v>0.2231301601305718</v>
      </c>
      <c r="F50" s="4">
        <f t="shared" si="7"/>
        <v>0.11538461538461539</v>
      </c>
      <c r="G50" s="4">
        <f t="shared" si="8"/>
        <v>1.0282607512860125E-9</v>
      </c>
      <c r="H50" s="4">
        <f t="shared" si="9"/>
        <v>1.5000000010282608</v>
      </c>
      <c r="I50" s="4">
        <f t="shared" si="10"/>
        <v>3.4275358376200417E-11</v>
      </c>
      <c r="J50" s="4">
        <f t="shared" si="11"/>
        <v>5.0000000034275363E-2</v>
      </c>
    </row>
    <row r="51" spans="1:10" x14ac:dyDescent="0.25">
      <c r="A51" s="4">
        <v>14</v>
      </c>
      <c r="B51" s="4">
        <f t="shared" si="4"/>
        <v>3.34864627690599E-9</v>
      </c>
      <c r="C51" s="4">
        <f>SUM(B$37:$B50)</f>
        <v>4.4816890666201399</v>
      </c>
      <c r="D51" s="4">
        <f t="shared" si="5"/>
        <v>3.7504838301347084E-9</v>
      </c>
      <c r="E51" s="4">
        <f t="shared" si="6"/>
        <v>0.22313016014680884</v>
      </c>
      <c r="F51" s="4">
        <f t="shared" si="7"/>
        <v>0.10714285714285714</v>
      </c>
      <c r="G51" s="4">
        <f t="shared" si="8"/>
        <v>1.0042152691751693E-10</v>
      </c>
      <c r="H51" s="4">
        <f t="shared" si="9"/>
        <v>1.5000000001004214</v>
      </c>
      <c r="I51" s="4">
        <f t="shared" si="10"/>
        <v>3.3473842305838979E-12</v>
      </c>
      <c r="J51" s="4">
        <f t="shared" si="11"/>
        <v>5.0000000003347388E-2</v>
      </c>
    </row>
    <row r="52" spans="1:10" x14ac:dyDescent="0.25">
      <c r="A52" s="4">
        <v>15</v>
      </c>
      <c r="B52" s="4">
        <f t="shared" si="4"/>
        <v>3.3486462769059901E-10</v>
      </c>
      <c r="C52" s="4">
        <f>SUM(B$37:$B51)</f>
        <v>4.4816890699687866</v>
      </c>
      <c r="D52" s="4">
        <f t="shared" si="5"/>
        <v>3.7207180854511001E-10</v>
      </c>
      <c r="E52" s="4">
        <f t="shared" si="6"/>
        <v>0.22313016014829073</v>
      </c>
      <c r="F52" s="4">
        <f t="shared" si="7"/>
        <v>0.1</v>
      </c>
      <c r="G52" s="4">
        <f t="shared" si="8"/>
        <v>9.2244935808149521E-12</v>
      </c>
      <c r="H52" s="4">
        <f t="shared" si="9"/>
        <v>1.5000000000092244</v>
      </c>
      <c r="I52" s="4">
        <f t="shared" si="10"/>
        <v>3.0748311936049842E-13</v>
      </c>
      <c r="J52" s="4">
        <f t="shared" si="11"/>
        <v>5.0000000000307486E-2</v>
      </c>
    </row>
    <row r="53" spans="1:10" x14ac:dyDescent="0.25">
      <c r="A53" s="4">
        <v>16</v>
      </c>
      <c r="B53" s="4">
        <f t="shared" si="4"/>
        <v>3.1393558845993659E-11</v>
      </c>
      <c r="C53" s="4">
        <f>SUM(B$37:$B52)</f>
        <v>4.4816890703036512</v>
      </c>
      <c r="D53" s="4">
        <f t="shared" si="5"/>
        <v>3.4641168381786108E-11</v>
      </c>
      <c r="E53" s="4">
        <f t="shared" si="6"/>
        <v>0.22313016014841852</v>
      </c>
      <c r="F53" s="4">
        <f t="shared" si="7"/>
        <v>9.375E-2</v>
      </c>
      <c r="G53" s="4">
        <f t="shared" si="8"/>
        <v>7.9960235676788958E-13</v>
      </c>
      <c r="H53" s="4">
        <f t="shared" si="9"/>
        <v>1.5000000000007996</v>
      </c>
      <c r="I53" s="4">
        <f t="shared" si="10"/>
        <v>2.6653411892262985E-14</v>
      </c>
      <c r="J53" s="4">
        <f t="shared" si="11"/>
        <v>5.0000000000026655E-2</v>
      </c>
    </row>
    <row r="54" spans="1:10" x14ac:dyDescent="0.25">
      <c r="A54" s="4">
        <v>17</v>
      </c>
      <c r="B54" s="4">
        <f t="shared" si="4"/>
        <v>2.7700198981759111E-12</v>
      </c>
      <c r="C54" s="4">
        <f>SUM(B$37:$B53)</f>
        <v>4.4816890703350447</v>
      </c>
      <c r="D54" s="4">
        <f t="shared" si="5"/>
        <v>3.0380863399348703E-12</v>
      </c>
      <c r="E54" s="4">
        <f t="shared" si="6"/>
        <v>0.2231301601484289</v>
      </c>
      <c r="F54" s="4">
        <f t="shared" si="7"/>
        <v>8.8235294117647065E-2</v>
      </c>
      <c r="G54" s="4">
        <f t="shared" si="8"/>
        <v>6.560213144268599E-14</v>
      </c>
      <c r="H54" s="4">
        <f t="shared" si="9"/>
        <v>1.5000000000000655</v>
      </c>
      <c r="I54" s="4">
        <f t="shared" si="10"/>
        <v>2.1867377147561995E-15</v>
      </c>
      <c r="J54" s="4">
        <f t="shared" si="11"/>
        <v>5.0000000000002189E-2</v>
      </c>
    </row>
    <row r="55" spans="1:10" x14ac:dyDescent="0.25">
      <c r="A55" s="4">
        <v>18</v>
      </c>
      <c r="B55" s="4">
        <f t="shared" si="4"/>
        <v>2.3083499151465924E-13</v>
      </c>
      <c r="C55" s="4">
        <f>SUM(B$37:$B54)</f>
        <v>4.4816890703378149</v>
      </c>
      <c r="D55" s="4">
        <f t="shared" si="5"/>
        <v>2.5181999074326464E-13</v>
      </c>
      <c r="E55" s="4">
        <f t="shared" si="6"/>
        <v>0.22313016014842971</v>
      </c>
      <c r="F55" s="4">
        <f t="shared" si="7"/>
        <v>8.3333333333333329E-2</v>
      </c>
      <c r="G55" s="4">
        <f t="shared" si="8"/>
        <v>5.1080577148291572E-15</v>
      </c>
      <c r="H55" s="4">
        <f t="shared" si="9"/>
        <v>1.5000000000000051</v>
      </c>
      <c r="I55" s="4">
        <f t="shared" si="10"/>
        <v>1.7026859049430523E-16</v>
      </c>
      <c r="J55" s="4">
        <f t="shared" si="11"/>
        <v>5.0000000000000176E-2</v>
      </c>
    </row>
    <row r="56" spans="1:10" x14ac:dyDescent="0.25">
      <c r="A56" s="4">
        <v>19</v>
      </c>
      <c r="B56" s="4">
        <f t="shared" si="4"/>
        <v>1.8223815119578361E-14</v>
      </c>
      <c r="C56" s="4">
        <f>SUM(B$37:$B55)</f>
        <v>4.4816890703380459</v>
      </c>
      <c r="D56" s="4">
        <f t="shared" si="5"/>
        <v>1.9785856415542221E-14</v>
      </c>
      <c r="E56" s="4">
        <f t="shared" si="6"/>
        <v>0.22313016014842979</v>
      </c>
      <c r="F56" s="4">
        <f t="shared" si="7"/>
        <v>7.8947368421052627E-2</v>
      </c>
      <c r="G56" s="4">
        <f t="shared" si="8"/>
        <v>3.7841325520060913E-16</v>
      </c>
      <c r="H56" s="4">
        <f t="shared" si="9"/>
        <v>1.5000000000000004</v>
      </c>
      <c r="I56" s="4">
        <f t="shared" si="10"/>
        <v>1.2613775173353638E-17</v>
      </c>
      <c r="J56" s="4">
        <f t="shared" si="11"/>
        <v>5.0000000000000017E-2</v>
      </c>
    </row>
    <row r="57" spans="1:10" x14ac:dyDescent="0.25">
      <c r="A57" s="4">
        <v>20</v>
      </c>
      <c r="B57" s="4">
        <f t="shared" si="4"/>
        <v>1.3667861339683772E-15</v>
      </c>
      <c r="C57" s="4">
        <f>SUM(B$37:$B56)</f>
        <v>4.4816890703380645</v>
      </c>
      <c r="D57" s="4">
        <f t="shared" si="5"/>
        <v>1.4776066313171644E-15</v>
      </c>
      <c r="E57" s="4">
        <f t="shared" si="6"/>
        <v>0.22313016014842976</v>
      </c>
      <c r="F57" s="4">
        <f t="shared" si="7"/>
        <v>7.4999999999999997E-2</v>
      </c>
      <c r="G57" s="4">
        <f t="shared" si="8"/>
        <v>2.6732319266122759E-17</v>
      </c>
      <c r="H57" s="4">
        <f t="shared" si="9"/>
        <v>1.5</v>
      </c>
      <c r="I57" s="4">
        <f t="shared" si="10"/>
        <v>8.9107730887075857E-19</v>
      </c>
      <c r="J57" s="4">
        <f t="shared" si="11"/>
        <v>0.05</v>
      </c>
    </row>
    <row r="58" spans="1:10" x14ac:dyDescent="0.25">
      <c r="A58" s="4">
        <v>21</v>
      </c>
      <c r="B58" s="4">
        <f t="shared" si="4"/>
        <v>9.7627580997741227E-17</v>
      </c>
      <c r="C58" s="4">
        <f>SUM(B$37:$B57)</f>
        <v>4.4816890703380663</v>
      </c>
      <c r="D58" s="4">
        <f t="shared" si="5"/>
        <v>1.051373949206444E-16</v>
      </c>
      <c r="E58" s="4">
        <f t="shared" si="6"/>
        <v>0.22313016014842976</v>
      </c>
      <c r="F58" s="4">
        <f t="shared" si="7"/>
        <v>7.1428571428571425E-2</v>
      </c>
      <c r="G58" s="4">
        <f t="shared" si="8"/>
        <v>1.8045633666332376E-18</v>
      </c>
      <c r="H58" s="4">
        <f t="shared" si="9"/>
        <v>1.5</v>
      </c>
      <c r="I58" s="4">
        <f t="shared" si="10"/>
        <v>6.0152112221107919E-20</v>
      </c>
      <c r="J58" s="4">
        <f t="shared" si="11"/>
        <v>0.05</v>
      </c>
    </row>
    <row r="59" spans="1:10" x14ac:dyDescent="0.25">
      <c r="A59" s="4">
        <v>22</v>
      </c>
      <c r="B59" s="4">
        <f t="shared" si="4"/>
        <v>6.6564259771187196E-18</v>
      </c>
      <c r="C59" s="4">
        <f>SUM(B$37:$B58)</f>
        <v>4.4816890703380663</v>
      </c>
      <c r="D59" s="4">
        <f t="shared" si="5"/>
        <v>7.1434815364200882E-18</v>
      </c>
      <c r="E59" s="4">
        <f t="shared" si="6"/>
        <v>0.22313016014842976</v>
      </c>
      <c r="F59" s="4">
        <f t="shared" si="7"/>
        <v>6.8181818181818177E-2</v>
      </c>
      <c r="G59" s="4">
        <f t="shared" si="8"/>
        <v>1.1662874482234869E-19</v>
      </c>
      <c r="H59" s="4">
        <f t="shared" si="9"/>
        <v>1.5</v>
      </c>
      <c r="I59" s="4">
        <f t="shared" si="10"/>
        <v>3.8876248274116229E-21</v>
      </c>
      <c r="J59" s="4">
        <f t="shared" si="11"/>
        <v>0.05</v>
      </c>
    </row>
    <row r="60" spans="1:10" x14ac:dyDescent="0.25">
      <c r="A60" s="4">
        <v>23</v>
      </c>
    </row>
    <row r="61" spans="1:10" x14ac:dyDescent="0.25">
      <c r="A61" s="4">
        <v>24</v>
      </c>
    </row>
    <row r="62" spans="1:10" x14ac:dyDescent="0.25">
      <c r="A62" s="4">
        <v>25</v>
      </c>
    </row>
    <row r="63" spans="1:10" x14ac:dyDescent="0.25">
      <c r="A63" s="4">
        <v>26</v>
      </c>
    </row>
    <row r="64" spans="1:10" x14ac:dyDescent="0.25">
      <c r="A64" s="4">
        <v>27</v>
      </c>
    </row>
    <row r="65" spans="1:1" x14ac:dyDescent="0.25">
      <c r="A65" s="4">
        <v>28</v>
      </c>
    </row>
    <row r="66" spans="1:1" x14ac:dyDescent="0.25">
      <c r="A66" s="4">
        <v>29</v>
      </c>
    </row>
    <row r="67" spans="1:1" x14ac:dyDescent="0.25">
      <c r="A67" s="4">
        <v>30</v>
      </c>
    </row>
  </sheetData>
  <mergeCells count="1">
    <mergeCell ref="H3:P3"/>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9-39 a</vt:lpstr>
      <vt:lpstr>9-39 b</vt:lpstr>
      <vt:lpstr>9-40 a</vt:lpstr>
      <vt:lpstr>9-40 b</vt:lpstr>
      <vt:lpstr>9-41 a</vt:lpstr>
      <vt:lpstr>9-41 b</vt:lpstr>
      <vt:lpstr>11-18</vt:lpstr>
      <vt:lpstr>11-19</vt:lpstr>
      <vt:lpstr>11-35</vt:lpstr>
      <vt:lpstr>12-12</vt:lpstr>
      <vt:lpstr>12-23</vt:lpstr>
      <vt:lpstr>'11-35'!Print_Area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 1</cp:lastModifiedBy>
  <dcterms:created xsi:type="dcterms:W3CDTF">2018-11-25T16:40:26Z</dcterms:created>
  <dcterms:modified xsi:type="dcterms:W3CDTF">2018-11-25T23:57:07Z</dcterms:modified>
</cp:coreProperties>
</file>